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amhuban/Dropbox (Surfing NSW)/staff snsw/Events/2018 Events/NSW SURFMASTERS/RESULTS/"/>
    </mc:Choice>
  </mc:AlternateContent>
  <bookViews>
    <workbookView xWindow="0" yWindow="460" windowWidth="28800" windowHeight="15940" tabRatio="754" firstSheet="1" activeTab="10"/>
  </bookViews>
  <sheets>
    <sheet name="Day 1 &amp; 2 " sheetId="1" r:id="rId1"/>
    <sheet name="Day 3 &amp; 4" sheetId="2" r:id="rId2"/>
    <sheet name="35 MEN" sheetId="3" r:id="rId3"/>
    <sheet name="35 WOMEN" sheetId="4" r:id="rId4"/>
    <sheet name="40 MEN" sheetId="12" r:id="rId5"/>
    <sheet name="45 MEN" sheetId="6" r:id="rId6"/>
    <sheet name="50 MEN" sheetId="7" r:id="rId7"/>
    <sheet name="55 MEN" sheetId="8" r:id="rId8"/>
    <sheet name="60 MEN" sheetId="10" r:id="rId9"/>
    <sheet name="SINGLE FIN" sheetId="9" r:id="rId10"/>
    <sheet name="RESULTS" sheetId="11" r:id="rId11"/>
  </sheets>
  <definedNames>
    <definedName name="_xlnm.Print_Area" localSheetId="2">'35 MEN'!$A$1:$X$30</definedName>
    <definedName name="_xlnm.Print_Area" localSheetId="3">'35 WOMEN'!$A$1:$P$22</definedName>
    <definedName name="_xlnm.Print_Area" localSheetId="5">'45 MEN'!$A$1:$Y$39</definedName>
    <definedName name="_xlnm.Print_Area" localSheetId="6">'50 MEN'!$A$1:$Y$39</definedName>
    <definedName name="_xlnm.Print_Area" localSheetId="7">'55 MEN'!$A$1:$Y$29</definedName>
    <definedName name="_xlnm.Print_Area" localSheetId="8">'60 MEN'!$A$1:$U$22</definedName>
    <definedName name="_xlnm.Print_Area" localSheetId="0">'Day 1 &amp; 2 '!$I$25:$N$52</definedName>
    <definedName name="_xlnm.Print_Area" localSheetId="1">'Day 3 &amp; 4'!$I$28:$N$45</definedName>
    <definedName name="_xlnm.Print_Area" localSheetId="10">RESULTS!$C$19:$H$33</definedName>
    <definedName name="_xlnm.Print_Area" localSheetId="9">'SINGLE FIN'!$A$1:$P$18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0" i="3" l="1"/>
  <c r="M28" i="3"/>
  <c r="M23" i="3"/>
  <c r="M22" i="3"/>
  <c r="M21" i="3"/>
  <c r="H21" i="3"/>
  <c r="R20" i="3"/>
  <c r="H20" i="3"/>
  <c r="R19" i="3"/>
  <c r="H19" i="3"/>
  <c r="R18" i="3"/>
  <c r="H18" i="3"/>
  <c r="W17" i="3"/>
  <c r="R17" i="3"/>
  <c r="W16" i="3"/>
  <c r="M16" i="3"/>
  <c r="W15" i="3"/>
  <c r="M15" i="3"/>
  <c r="W14" i="3"/>
  <c r="R14" i="3"/>
  <c r="M14" i="3"/>
  <c r="H14" i="3"/>
  <c r="R13" i="3"/>
  <c r="H13" i="3"/>
  <c r="R12" i="3"/>
  <c r="H12" i="3"/>
  <c r="R11" i="3"/>
  <c r="H11" i="3"/>
  <c r="M9" i="3"/>
  <c r="M8" i="3"/>
  <c r="M7" i="3"/>
  <c r="N18" i="10"/>
  <c r="N17" i="10"/>
  <c r="S16" i="10"/>
  <c r="N16" i="10"/>
  <c r="S15" i="10"/>
  <c r="S14" i="10"/>
  <c r="S13" i="10"/>
  <c r="N12" i="10"/>
  <c r="N11" i="10"/>
  <c r="N10" i="10"/>
  <c r="M28" i="8"/>
  <c r="M26" i="8"/>
  <c r="M21" i="8"/>
  <c r="M20" i="8"/>
  <c r="M19" i="8"/>
  <c r="H19" i="8"/>
  <c r="R18" i="8"/>
  <c r="H18" i="8"/>
  <c r="R17" i="8"/>
  <c r="H17" i="8"/>
  <c r="R16" i="8"/>
  <c r="H16" i="8"/>
  <c r="W15" i="8"/>
  <c r="R15" i="8"/>
  <c r="W14" i="8"/>
  <c r="M14" i="8"/>
  <c r="W13" i="8"/>
  <c r="M13" i="8"/>
  <c r="W12" i="8"/>
  <c r="R12" i="8"/>
  <c r="M12" i="8"/>
  <c r="H12" i="8"/>
  <c r="R11" i="8"/>
  <c r="H11" i="8"/>
  <c r="R10" i="8"/>
  <c r="H10" i="8"/>
  <c r="R9" i="8"/>
  <c r="H9" i="8"/>
  <c r="M7" i="8"/>
  <c r="M5" i="8"/>
  <c r="H38" i="7"/>
  <c r="H37" i="7"/>
  <c r="H36" i="7"/>
  <c r="H32" i="7"/>
  <c r="M30" i="7"/>
  <c r="H30" i="7"/>
  <c r="H25" i="7"/>
  <c r="H24" i="7"/>
  <c r="M23" i="7"/>
  <c r="R19" i="7"/>
  <c r="R18" i="7"/>
  <c r="R17" i="7"/>
  <c r="R16" i="7"/>
  <c r="M16" i="7"/>
  <c r="H16" i="7"/>
  <c r="W15" i="7"/>
  <c r="W14" i="7"/>
  <c r="M14" i="7"/>
  <c r="W13" i="7"/>
  <c r="R13" i="7"/>
  <c r="M13" i="7"/>
  <c r="H13" i="7"/>
  <c r="R12" i="7"/>
  <c r="H12" i="7"/>
  <c r="R11" i="7"/>
  <c r="H11" i="7"/>
  <c r="R10" i="7"/>
  <c r="H10" i="7"/>
  <c r="M9" i="7"/>
  <c r="M8" i="7"/>
  <c r="M7" i="7"/>
  <c r="M6" i="7"/>
  <c r="H38" i="6"/>
  <c r="H37" i="6"/>
  <c r="H36" i="6"/>
  <c r="H32" i="6"/>
  <c r="M30" i="6"/>
  <c r="H30" i="6"/>
  <c r="H25" i="6"/>
  <c r="H24" i="6"/>
  <c r="M23" i="6"/>
  <c r="R19" i="6"/>
  <c r="H19" i="6"/>
  <c r="R18" i="6"/>
  <c r="H18" i="6"/>
  <c r="R17" i="6"/>
  <c r="H17" i="6"/>
  <c r="W16" i="6"/>
  <c r="R16" i="6"/>
  <c r="M16" i="6"/>
  <c r="H16" i="6"/>
  <c r="W15" i="6"/>
  <c r="W14" i="6"/>
  <c r="M14" i="6"/>
  <c r="W13" i="6"/>
  <c r="R13" i="6"/>
  <c r="M13" i="6"/>
  <c r="H13" i="6"/>
  <c r="R12" i="6"/>
  <c r="H12" i="6"/>
  <c r="R11" i="6"/>
  <c r="H11" i="6"/>
  <c r="R10" i="6"/>
  <c r="H10" i="6"/>
  <c r="M9" i="6"/>
  <c r="M8" i="6"/>
  <c r="M7" i="6"/>
  <c r="M6" i="6"/>
  <c r="M30" i="12"/>
  <c r="M29" i="12"/>
  <c r="M27" i="12"/>
  <c r="H24" i="12"/>
  <c r="M23" i="12"/>
  <c r="H23" i="12"/>
  <c r="M22" i="12"/>
  <c r="M20" i="12"/>
  <c r="R19" i="12"/>
  <c r="H19" i="12"/>
  <c r="R18" i="12"/>
  <c r="H18" i="12"/>
  <c r="R17" i="12"/>
  <c r="H17" i="12"/>
  <c r="R16" i="12"/>
  <c r="M16" i="12"/>
  <c r="H16" i="12"/>
  <c r="W15" i="12"/>
  <c r="W14" i="12"/>
  <c r="M14" i="12"/>
  <c r="W13" i="12"/>
  <c r="R13" i="12"/>
  <c r="M13" i="12"/>
  <c r="R12" i="12"/>
  <c r="H12" i="12"/>
  <c r="R11" i="12"/>
  <c r="H11" i="12"/>
  <c r="R10" i="12"/>
  <c r="H10" i="12"/>
  <c r="M9" i="12"/>
  <c r="M7" i="12"/>
  <c r="M6" i="12"/>
</calcChain>
</file>

<file path=xl/sharedStrings.xml><?xml version="1.0" encoding="utf-8"?>
<sst xmlns="http://schemas.openxmlformats.org/spreadsheetml/2006/main" count="1168" uniqueCount="208">
  <si>
    <t>Heat No.</t>
  </si>
  <si>
    <t>OVER</t>
  </si>
  <si>
    <t>55 MEN</t>
  </si>
  <si>
    <t>ROUND 1</t>
  </si>
  <si>
    <t>HEAT 1</t>
  </si>
  <si>
    <t xml:space="preserve">7:30am </t>
  </si>
  <si>
    <t>35 MEN</t>
  </si>
  <si>
    <t xml:space="preserve">55 Men </t>
  </si>
  <si>
    <t>HEAT 2</t>
  </si>
  <si>
    <t>HEAT 3</t>
  </si>
  <si>
    <t>OPEN</t>
  </si>
  <si>
    <t>SINGLE FIN</t>
  </si>
  <si>
    <t xml:space="preserve">FINAL </t>
  </si>
  <si>
    <t>FINAL 1</t>
  </si>
  <si>
    <t>HEAT 4</t>
  </si>
  <si>
    <t xml:space="preserve">OVER </t>
  </si>
  <si>
    <t>35 WOMEN</t>
  </si>
  <si>
    <t>FINAL</t>
  </si>
  <si>
    <t>HEAT 5</t>
  </si>
  <si>
    <t>50 MEN</t>
  </si>
  <si>
    <t>HEAT 6</t>
  </si>
  <si>
    <t>40 MEN</t>
  </si>
  <si>
    <t>RE-QUAL 1</t>
  </si>
  <si>
    <t>RE-QUAL 2</t>
  </si>
  <si>
    <t>45 MEN</t>
  </si>
  <si>
    <t>FINAL 2</t>
  </si>
  <si>
    <t>SEMI FINAL</t>
  </si>
  <si>
    <t>Q-FINAL</t>
  </si>
  <si>
    <t xml:space="preserve">60 MEN </t>
  </si>
  <si>
    <t>Great Lakes, NSW</t>
  </si>
  <si>
    <t xml:space="preserve"> Please call Event Hotline (0458 247 212) after 6:45am for the Confirmed </t>
  </si>
  <si>
    <t>Contest Location &amp; Schedule</t>
  </si>
  <si>
    <t>Primary Contest Location: Boomerang Beach</t>
  </si>
  <si>
    <t>Scheduled start time each day: 7:30am. Please check in for your heat at least 10 mins prior</t>
  </si>
  <si>
    <t>ALL HEATS = 20 MINUTES</t>
  </si>
  <si>
    <t xml:space="preserve">45 Men </t>
  </si>
  <si>
    <t>White</t>
  </si>
  <si>
    <t>5th</t>
  </si>
  <si>
    <t>35 WOMEN SURFMASTERS</t>
  </si>
  <si>
    <t>35 MEN SURFMASTERS</t>
  </si>
  <si>
    <t>40 MEN SURFMASTERS</t>
  </si>
  <si>
    <t>45 MEN SURFMASTERS</t>
  </si>
  <si>
    <t>50 MEN SURFMASTERS</t>
  </si>
  <si>
    <t>60 MEN SURFMASTERS</t>
  </si>
  <si>
    <t>SINGLE FIN SURFMASTERS</t>
  </si>
  <si>
    <t>ROUND ONE</t>
  </si>
  <si>
    <t>Red</t>
  </si>
  <si>
    <t>Yellow</t>
  </si>
  <si>
    <t>Blue</t>
  </si>
  <si>
    <t>Final</t>
  </si>
  <si>
    <t>Green</t>
  </si>
  <si>
    <t xml:space="preserve">Format - </t>
  </si>
  <si>
    <t>Place</t>
  </si>
  <si>
    <t>Points for placing</t>
  </si>
  <si>
    <t>1st</t>
  </si>
  <si>
    <t>2nd</t>
  </si>
  <si>
    <t>3rd</t>
  </si>
  <si>
    <t>4th</t>
  </si>
  <si>
    <t>6th</t>
  </si>
  <si>
    <t>Final 1 and Final 2 will both be surfed by the same surfers. Each final will award a place and points as above</t>
  </si>
  <si>
    <t xml:space="preserve">Both Placing points will be put on a leader board. </t>
  </si>
  <si>
    <t xml:space="preserve">If surfers end up with the same points after both finals have been completed, Surfer with the Highest heat total from either final 1 or final 2 will be determined  the winner </t>
  </si>
  <si>
    <t>Final Total</t>
  </si>
  <si>
    <t>*Presentation on the beach for O35 Women, O55s, O60s &amp; Single Fin</t>
  </si>
  <si>
    <t>*FREE competitiors function at Moby's Beachside Retreat</t>
  </si>
  <si>
    <t>* Presentation at Moby's Beachside Retreat</t>
  </si>
  <si>
    <t>55 MEN SURFMASTERS</t>
  </si>
  <si>
    <t>Rd1 Ht1</t>
  </si>
  <si>
    <t>REQUALIFY ONE</t>
  </si>
  <si>
    <t>Ht1</t>
  </si>
  <si>
    <t>Rd1 Ht2</t>
  </si>
  <si>
    <t>REQUALIFY TWO</t>
  </si>
  <si>
    <t>SEMI FINALS</t>
  </si>
  <si>
    <t>Rd1 Ht3</t>
  </si>
  <si>
    <t>Ht2</t>
  </si>
  <si>
    <t xml:space="preserve"> </t>
  </si>
  <si>
    <t>Rd1 Ht4</t>
  </si>
  <si>
    <t>Ht3</t>
  </si>
  <si>
    <t>Rd1 Ht5</t>
  </si>
  <si>
    <t>Rd1 Ht6</t>
  </si>
  <si>
    <t xml:space="preserve">Heat Total </t>
  </si>
  <si>
    <t xml:space="preserve">Place </t>
  </si>
  <si>
    <t xml:space="preserve">Scheduled start time each day: 7:30am. Please check in for your heat at least 10 mins prior. </t>
  </si>
  <si>
    <t>Please note that the schedule is always subject to change</t>
  </si>
  <si>
    <t>Back up locations include: Tuncurry Break Wall, Haydens Pool, One Mile Beach, Elizabeth Beach,  Bluey's &amp; Seal Rocks</t>
  </si>
  <si>
    <t>Thursday 14th - Sunday 17th June 2018</t>
  </si>
  <si>
    <t>Day 4: Sunday 17th June 2018</t>
  </si>
  <si>
    <t>Day 3: Saturday 16th June 2018</t>
  </si>
  <si>
    <t>Day 1: Thursday 14th June 2018</t>
  </si>
  <si>
    <t>Day 2: Friday 15th June 2018</t>
  </si>
  <si>
    <t>HEAT TOTAL</t>
  </si>
  <si>
    <t xml:space="preserve">PLACE  </t>
  </si>
  <si>
    <t>Rd3 Ht1</t>
  </si>
  <si>
    <t xml:space="preserve">Rd3 Ht2 </t>
  </si>
  <si>
    <t xml:space="preserve">Rd3 Ht3 </t>
  </si>
  <si>
    <t xml:space="preserve">Rd3 Ht4 </t>
  </si>
  <si>
    <t>Mitchell Dawkings</t>
  </si>
  <si>
    <t>Rob Hazlewood</t>
  </si>
  <si>
    <t>Shane Conwell</t>
  </si>
  <si>
    <t>Dane Henderson</t>
  </si>
  <si>
    <t>Scott Schindler</t>
  </si>
  <si>
    <t>Jake Spooner</t>
  </si>
  <si>
    <t>Steven Berlin</t>
  </si>
  <si>
    <t>Cameron Sharpe</t>
  </si>
  <si>
    <t>Paul Snow</t>
  </si>
  <si>
    <t>Michael Crisp</t>
  </si>
  <si>
    <t>Vitor Whatts Silva</t>
  </si>
  <si>
    <t>Amee Donohoe</t>
  </si>
  <si>
    <t>Melissa  Bartz</t>
  </si>
  <si>
    <t>Samantha Oakes</t>
  </si>
  <si>
    <t>Andrew Symington</t>
  </si>
  <si>
    <t>Kieran White</t>
  </si>
  <si>
    <t>Sean Lancaster</t>
  </si>
  <si>
    <t>Ricky Marshall</t>
  </si>
  <si>
    <t>Benjy Morris</t>
  </si>
  <si>
    <t>Gavin Linnow</t>
  </si>
  <si>
    <t>Karl Lavis</t>
  </si>
  <si>
    <t>Matthew Chelman</t>
  </si>
  <si>
    <t>Maris Luidmanis</t>
  </si>
  <si>
    <t>Paul Parkes</t>
  </si>
  <si>
    <t>Wade Lazich</t>
  </si>
  <si>
    <t>Nick Brusic</t>
  </si>
  <si>
    <t>Col Bernasconi</t>
  </si>
  <si>
    <t>Carl Musker</t>
  </si>
  <si>
    <t>Marcus Davidson</t>
  </si>
  <si>
    <t>Antthony Ellison</t>
  </si>
  <si>
    <t>Mark Morgenthal</t>
  </si>
  <si>
    <t>Luke Howarth</t>
  </si>
  <si>
    <t>Craig Munro</t>
  </si>
  <si>
    <t>Phillip Antonie</t>
  </si>
  <si>
    <t>Brett Bannister</t>
  </si>
  <si>
    <t>David Wood</t>
  </si>
  <si>
    <t>Billy Budd</t>
  </si>
  <si>
    <t>Scott Winch</t>
  </si>
  <si>
    <t>Brett Chalker</t>
  </si>
  <si>
    <t>Matt Whyte</t>
  </si>
  <si>
    <t>Michael Van opstal</t>
  </si>
  <si>
    <t>Rod Baldwin</t>
  </si>
  <si>
    <t>Richard Sargeson</t>
  </si>
  <si>
    <t>Michael Hoysted</t>
  </si>
  <si>
    <t>David Hammond</t>
  </si>
  <si>
    <t>Martin Boffey</t>
  </si>
  <si>
    <t>Dean Bradley</t>
  </si>
  <si>
    <t>Charlie O'Sullivan</t>
  </si>
  <si>
    <t>David Zimmer</t>
  </si>
  <si>
    <t>Max Perrot</t>
  </si>
  <si>
    <t>Scott Henderson</t>
  </si>
  <si>
    <t>Craig Claridge</t>
  </si>
  <si>
    <t>Glen Valaire</t>
  </si>
  <si>
    <t>Mark Tickle</t>
  </si>
  <si>
    <t>Lyle Eder</t>
  </si>
  <si>
    <t>Mark Gobbe</t>
  </si>
  <si>
    <t>Paul Campbell</t>
  </si>
  <si>
    <t>Michael Omm</t>
  </si>
  <si>
    <t>Dean Shaw</t>
  </si>
  <si>
    <t>Neil Hobbis</t>
  </si>
  <si>
    <t>Greg Gillespie</t>
  </si>
  <si>
    <t>Donovan Daniels</t>
  </si>
  <si>
    <t>Glenn Sharrock</t>
  </si>
  <si>
    <t>Brad Stewart</t>
  </si>
  <si>
    <t>Don Giles</t>
  </si>
  <si>
    <t>Michael Gibbs</t>
  </si>
  <si>
    <t>Brenton Schuetz</t>
  </si>
  <si>
    <t>Mark Phelan</t>
  </si>
  <si>
    <t>Bruce Flint</t>
  </si>
  <si>
    <t>Neil Cameron</t>
  </si>
  <si>
    <t>Andrew Johnston</t>
  </si>
  <si>
    <t>Brett Pember</t>
  </si>
  <si>
    <t>Brett Weston</t>
  </si>
  <si>
    <t>Matt Hoar</t>
  </si>
  <si>
    <t>Sandro Neto</t>
  </si>
  <si>
    <t xml:space="preserve">John Shimooka </t>
  </si>
  <si>
    <t>Don Bronsveld</t>
  </si>
  <si>
    <t>Andrew Johnson</t>
  </si>
  <si>
    <t>Randall Sharpe</t>
  </si>
  <si>
    <t>Daniel Perkowski</t>
  </si>
  <si>
    <t>Luke Kearney</t>
  </si>
  <si>
    <t>Kevin Short</t>
  </si>
  <si>
    <t>David Gander</t>
  </si>
  <si>
    <t>Steve Dean</t>
  </si>
  <si>
    <t>Anthony Donohoe</t>
  </si>
  <si>
    <t>Kevin Slattery</t>
  </si>
  <si>
    <t>John Skinnner</t>
  </si>
  <si>
    <t>Wayne Roach</t>
  </si>
  <si>
    <t>Ronnie Wong</t>
  </si>
  <si>
    <t>Ian Gaynor</t>
  </si>
  <si>
    <t>35 Womens</t>
  </si>
  <si>
    <t>Single Fin</t>
  </si>
  <si>
    <t>60 Mens</t>
  </si>
  <si>
    <t>55 Mens</t>
  </si>
  <si>
    <t>40 Mens</t>
  </si>
  <si>
    <t>45 Mens</t>
  </si>
  <si>
    <t>35 Mens</t>
  </si>
  <si>
    <t>50 Mens</t>
  </si>
  <si>
    <t>N/S</t>
  </si>
  <si>
    <t>Matt Hucker</t>
  </si>
  <si>
    <t>Points</t>
  </si>
  <si>
    <r>
      <t xml:space="preserve">Amee Donohoe </t>
    </r>
    <r>
      <rPr>
        <b/>
        <sz val="14"/>
        <color theme="1"/>
        <rFont val="Calibri"/>
        <family val="2"/>
        <scheme val="minor"/>
      </rPr>
      <t>(15.5)</t>
    </r>
  </si>
  <si>
    <r>
      <t>Melissa Bartz</t>
    </r>
    <r>
      <rPr>
        <b/>
        <sz val="14"/>
        <color theme="1"/>
        <rFont val="Calibri"/>
        <family val="2"/>
        <scheme val="minor"/>
      </rPr>
      <t xml:space="preserve"> (15.07)</t>
    </r>
  </si>
  <si>
    <t>Results</t>
  </si>
  <si>
    <t>Justin Lee</t>
  </si>
  <si>
    <t>John Shimooka</t>
  </si>
  <si>
    <t>Michael Van Opstal</t>
  </si>
  <si>
    <t>Glenn Valaire</t>
  </si>
  <si>
    <t>Walk Through</t>
  </si>
  <si>
    <t xml:space="preserve">Michael Hoysted </t>
  </si>
  <si>
    <t>Mitchel Dawkings</t>
  </si>
  <si>
    <t>Glen Valarie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</si>
</sst>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C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6FF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17" fillId="0" borderId="0" xfId="0" applyFont="1"/>
    <xf numFmtId="0" fontId="2" fillId="0" borderId="0" xfId="0" applyFont="1" applyFill="1"/>
    <xf numFmtId="0" fontId="3" fillId="0" borderId="0" xfId="2" applyFont="1" applyFill="1"/>
    <xf numFmtId="20" fontId="5" fillId="0" borderId="0" xfId="0" applyNumberFormat="1" applyFont="1" applyAlignment="1">
      <alignment horizontal="left"/>
    </xf>
    <xf numFmtId="0" fontId="19" fillId="0" borderId="0" xfId="0" applyFont="1"/>
    <xf numFmtId="0" fontId="18" fillId="0" borderId="0" xfId="1" applyFont="1"/>
    <xf numFmtId="0" fontId="20" fillId="0" borderId="0" xfId="1" applyFont="1" applyAlignment="1">
      <alignment horizontal="center"/>
    </xf>
    <xf numFmtId="0" fontId="20" fillId="0" borderId="0" xfId="1" applyFont="1" applyFill="1" applyAlignment="1">
      <alignment horizontal="center"/>
    </xf>
    <xf numFmtId="0" fontId="5" fillId="0" borderId="0" xfId="0" applyFont="1" applyFill="1"/>
    <xf numFmtId="20" fontId="5" fillId="0" borderId="0" xfId="0" applyNumberFormat="1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left"/>
    </xf>
    <xf numFmtId="20" fontId="21" fillId="0" borderId="0" xfId="0" applyNumberFormat="1" applyFont="1" applyAlignment="1">
      <alignment horizontal="left"/>
    </xf>
    <xf numFmtId="0" fontId="22" fillId="0" borderId="0" xfId="0" applyFont="1"/>
    <xf numFmtId="0" fontId="0" fillId="0" borderId="0" xfId="0" applyFill="1"/>
    <xf numFmtId="0" fontId="23" fillId="0" borderId="0" xfId="0" applyFont="1"/>
    <xf numFmtId="0" fontId="20" fillId="0" borderId="0" xfId="0" applyFont="1"/>
    <xf numFmtId="0" fontId="18" fillId="0" borderId="0" xfId="0" applyFont="1"/>
    <xf numFmtId="0" fontId="18" fillId="0" borderId="2" xfId="0" applyFont="1" applyBorder="1"/>
    <xf numFmtId="0" fontId="18" fillId="0" borderId="3" xfId="0" applyFont="1" applyBorder="1"/>
    <xf numFmtId="0" fontId="18" fillId="0" borderId="1" xfId="0" applyFont="1" applyBorder="1" applyAlignment="1">
      <alignment horizontal="center"/>
    </xf>
    <xf numFmtId="0" fontId="18" fillId="0" borderId="4" xfId="0" applyFont="1" applyBorder="1"/>
    <xf numFmtId="0" fontId="20" fillId="0" borderId="0" xfId="0" applyFont="1" applyAlignment="1">
      <alignment horizontal="center"/>
    </xf>
    <xf numFmtId="0" fontId="0" fillId="0" borderId="0" xfId="0" applyFont="1"/>
    <xf numFmtId="0" fontId="0" fillId="0" borderId="1" xfId="0" applyBorder="1"/>
    <xf numFmtId="0" fontId="24" fillId="6" borderId="5" xfId="0" applyFont="1" applyFill="1" applyBorder="1"/>
    <xf numFmtId="0" fontId="20" fillId="0" borderId="6" xfId="0" applyFont="1" applyBorder="1"/>
    <xf numFmtId="0" fontId="20" fillId="7" borderId="6" xfId="0" applyFont="1" applyFill="1" applyBorder="1"/>
    <xf numFmtId="0" fontId="19" fillId="0" borderId="0" xfId="0" applyFont="1" applyFill="1" applyBorder="1"/>
    <xf numFmtId="0" fontId="0" fillId="0" borderId="0" xfId="0" applyBorder="1"/>
    <xf numFmtId="0" fontId="19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/>
    <xf numFmtId="0" fontId="25" fillId="0" borderId="0" xfId="0" applyFont="1"/>
    <xf numFmtId="0" fontId="26" fillId="0" borderId="0" xfId="0" applyFont="1" applyFill="1"/>
    <xf numFmtId="0" fontId="18" fillId="0" borderId="1" xfId="0" applyFont="1" applyBorder="1"/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9" xfId="0" applyFont="1" applyBorder="1"/>
    <xf numFmtId="0" fontId="18" fillId="0" borderId="10" xfId="0" applyFont="1" applyBorder="1"/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0" xfId="0" applyFont="1" applyBorder="1"/>
    <xf numFmtId="0" fontId="19" fillId="0" borderId="0" xfId="0" applyFont="1" applyBorder="1"/>
    <xf numFmtId="0" fontId="18" fillId="0" borderId="0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9" fillId="0" borderId="0" xfId="0" applyFont="1" applyFill="1"/>
    <xf numFmtId="0" fontId="27" fillId="0" borderId="0" xfId="0" applyFont="1" applyFill="1"/>
    <xf numFmtId="0" fontId="20" fillId="0" borderId="0" xfId="0" applyFont="1" applyFill="1" applyBorder="1"/>
    <xf numFmtId="0" fontId="18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4" fillId="8" borderId="1" xfId="0" applyFont="1" applyFill="1" applyBorder="1"/>
    <xf numFmtId="0" fontId="24" fillId="6" borderId="1" xfId="0" applyFont="1" applyFill="1" applyBorder="1"/>
    <xf numFmtId="0" fontId="20" fillId="0" borderId="1" xfId="0" applyFont="1" applyBorder="1"/>
    <xf numFmtId="0" fontId="20" fillId="7" borderId="1" xfId="0" applyFont="1" applyFill="1" applyBorder="1"/>
    <xf numFmtId="0" fontId="25" fillId="0" borderId="1" xfId="0" applyFont="1" applyFill="1" applyBorder="1" applyAlignment="1">
      <alignment horizontal="center"/>
    </xf>
    <xf numFmtId="0" fontId="24" fillId="9" borderId="1" xfId="0" applyFont="1" applyFill="1" applyBorder="1"/>
    <xf numFmtId="0" fontId="29" fillId="9" borderId="1" xfId="0" applyFont="1" applyFill="1" applyBorder="1"/>
    <xf numFmtId="0" fontId="21" fillId="0" borderId="0" xfId="0" applyFont="1" applyFill="1" applyBorder="1"/>
    <xf numFmtId="0" fontId="18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8" fillId="0" borderId="11" xfId="0" applyFont="1" applyBorder="1"/>
    <xf numFmtId="0" fontId="18" fillId="0" borderId="12" xfId="0" applyFont="1" applyBorder="1"/>
    <xf numFmtId="0" fontId="19" fillId="0" borderId="4" xfId="0" applyFont="1" applyBorder="1"/>
    <xf numFmtId="0" fontId="18" fillId="0" borderId="4" xfId="0" applyFont="1" applyBorder="1" applyAlignment="1">
      <alignment horizontal="center"/>
    </xf>
    <xf numFmtId="0" fontId="18" fillId="0" borderId="13" xfId="0" applyFont="1" applyBorder="1"/>
    <xf numFmtId="0" fontId="19" fillId="0" borderId="7" xfId="0" applyFont="1" applyBorder="1"/>
    <xf numFmtId="0" fontId="23" fillId="0" borderId="0" xfId="0" applyFont="1"/>
    <xf numFmtId="0" fontId="0" fillId="0" borderId="0" xfId="0" applyFont="1"/>
    <xf numFmtId="0" fontId="20" fillId="0" borderId="0" xfId="0" applyFont="1"/>
    <xf numFmtId="0" fontId="18" fillId="0" borderId="0" xfId="0" applyFont="1"/>
    <xf numFmtId="0" fontId="10" fillId="0" borderId="0" xfId="0" applyFont="1"/>
    <xf numFmtId="0" fontId="20" fillId="10" borderId="4" xfId="0" applyFont="1" applyFill="1" applyBorder="1"/>
    <xf numFmtId="0" fontId="19" fillId="0" borderId="1" xfId="0" applyFont="1" applyBorder="1"/>
    <xf numFmtId="0" fontId="21" fillId="0" borderId="1" xfId="0" applyFont="1" applyBorder="1"/>
    <xf numFmtId="0" fontId="21" fillId="11" borderId="7" xfId="0" applyFont="1" applyFill="1" applyBorder="1"/>
    <xf numFmtId="0" fontId="21" fillId="12" borderId="7" xfId="0" applyFont="1" applyFill="1" applyBorder="1"/>
    <xf numFmtId="0" fontId="19" fillId="0" borderId="1" xfId="0" applyFont="1" applyFill="1" applyBorder="1"/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0" xfId="0" applyFont="1" applyBorder="1"/>
    <xf numFmtId="0" fontId="18" fillId="0" borderId="0" xfId="0" applyFont="1" applyBorder="1"/>
    <xf numFmtId="0" fontId="21" fillId="11" borderId="1" xfId="0" applyFont="1" applyFill="1" applyBorder="1"/>
    <xf numFmtId="0" fontId="21" fillId="12" borderId="1" xfId="0" applyFont="1" applyFill="1" applyBorder="1"/>
    <xf numFmtId="0" fontId="8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Fill="1"/>
    <xf numFmtId="0" fontId="0" fillId="0" borderId="0" xfId="0" applyFont="1"/>
    <xf numFmtId="0" fontId="18" fillId="0" borderId="0" xfId="1" applyFont="1"/>
    <xf numFmtId="0" fontId="0" fillId="0" borderId="0" xfId="0" applyFont="1" applyFill="1"/>
    <xf numFmtId="0" fontId="20" fillId="0" borderId="0" xfId="1" applyFont="1" applyAlignment="1">
      <alignment horizontal="center"/>
    </xf>
    <xf numFmtId="0" fontId="17" fillId="0" borderId="0" xfId="0" applyFont="1"/>
    <xf numFmtId="0" fontId="20" fillId="0" borderId="0" xfId="1" applyFont="1" applyFill="1" applyAlignment="1">
      <alignment horizontal="center"/>
    </xf>
    <xf numFmtId="0" fontId="20" fillId="0" borderId="0" xfId="2" applyFont="1"/>
    <xf numFmtId="0" fontId="17" fillId="0" borderId="0" xfId="0" applyFont="1" applyFill="1"/>
    <xf numFmtId="0" fontId="11" fillId="0" borderId="0" xfId="0" applyFont="1" applyFill="1"/>
    <xf numFmtId="0" fontId="20" fillId="0" borderId="0" xfId="2" applyFont="1" applyFill="1"/>
    <xf numFmtId="0" fontId="12" fillId="0" borderId="0" xfId="2" applyFont="1" applyFill="1"/>
    <xf numFmtId="0" fontId="12" fillId="0" borderId="0" xfId="2" applyFont="1" applyFill="1" applyBorder="1"/>
    <xf numFmtId="0" fontId="11" fillId="0" borderId="0" xfId="0" applyFont="1"/>
    <xf numFmtId="0" fontId="13" fillId="0" borderId="0" xfId="2" applyFont="1" applyFill="1"/>
    <xf numFmtId="0" fontId="14" fillId="0" borderId="0" xfId="2" applyFont="1" applyFill="1" applyAlignment="1">
      <alignment horizontal="left"/>
    </xf>
    <xf numFmtId="20" fontId="30" fillId="0" borderId="0" xfId="0" applyNumberFormat="1" applyFont="1" applyFill="1" applyBorder="1" applyAlignment="1">
      <alignment horizontal="left"/>
    </xf>
    <xf numFmtId="20" fontId="16" fillId="0" borderId="0" xfId="0" applyNumberFormat="1" applyFont="1" applyAlignment="1">
      <alignment horizontal="left"/>
    </xf>
    <xf numFmtId="20" fontId="16" fillId="0" borderId="0" xfId="0" applyNumberFormat="1" applyFont="1"/>
    <xf numFmtId="0" fontId="27" fillId="0" borderId="0" xfId="0" applyFont="1" applyFill="1"/>
    <xf numFmtId="0" fontId="21" fillId="0" borderId="0" xfId="0" applyFont="1" applyAlignment="1">
      <alignment horizontal="center"/>
    </xf>
    <xf numFmtId="0" fontId="31" fillId="0" borderId="0" xfId="0" applyFont="1"/>
    <xf numFmtId="2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1" fillId="0" borderId="1" xfId="0" applyFont="1" applyFill="1" applyBorder="1"/>
    <xf numFmtId="0" fontId="18" fillId="0" borderId="1" xfId="0" applyFont="1" applyFill="1" applyBorder="1"/>
    <xf numFmtId="0" fontId="31" fillId="0" borderId="0" xfId="0" applyFont="1" applyFill="1" applyBorder="1"/>
    <xf numFmtId="0" fontId="32" fillId="0" borderId="0" xfId="0" applyFont="1" applyFill="1"/>
    <xf numFmtId="0" fontId="33" fillId="0" borderId="0" xfId="0" applyFont="1" applyFill="1"/>
    <xf numFmtId="0" fontId="21" fillId="0" borderId="1" xfId="0" applyFont="1" applyFill="1" applyBorder="1"/>
    <xf numFmtId="0" fontId="27" fillId="0" borderId="0" xfId="0" applyFont="1" applyFill="1" applyAlignment="1">
      <alignment horizontal="left"/>
    </xf>
    <xf numFmtId="0" fontId="25" fillId="0" borderId="2" xfId="0" applyFont="1" applyFill="1" applyBorder="1" applyAlignment="1">
      <alignment horizontal="center"/>
    </xf>
    <xf numFmtId="0" fontId="21" fillId="0" borderId="7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6" fillId="0" borderId="0" xfId="2" applyFont="1" applyFill="1" applyBorder="1" applyAlignment="1">
      <alignment horizontal="center"/>
    </xf>
    <xf numFmtId="0" fontId="19" fillId="0" borderId="1" xfId="0" applyFont="1" applyFill="1" applyBorder="1" applyAlignment="1"/>
    <xf numFmtId="0" fontId="19" fillId="0" borderId="1" xfId="0" applyFont="1" applyBorder="1" applyAlignment="1"/>
    <xf numFmtId="0" fontId="20" fillId="0" borderId="0" xfId="2" applyFont="1" applyFill="1" applyBorder="1" applyAlignment="1">
      <alignment horizontal="center"/>
    </xf>
    <xf numFmtId="0" fontId="18" fillId="2" borderId="0" xfId="2" applyFont="1" applyFill="1" applyBorder="1" applyAlignment="1">
      <alignment horizontal="left"/>
    </xf>
    <xf numFmtId="0" fontId="17" fillId="2" borderId="0" xfId="0" applyFont="1" applyFill="1" applyBorder="1"/>
    <xf numFmtId="0" fontId="18" fillId="13" borderId="0" xfId="2" applyFont="1" applyFill="1" applyBorder="1" applyAlignment="1">
      <alignment horizontal="left"/>
    </xf>
    <xf numFmtId="0" fontId="17" fillId="13" borderId="0" xfId="0" applyFont="1" applyFill="1" applyBorder="1"/>
    <xf numFmtId="0" fontId="18" fillId="14" borderId="0" xfId="2" applyFont="1" applyFill="1" applyBorder="1" applyAlignment="1">
      <alignment horizontal="left"/>
    </xf>
    <xf numFmtId="0" fontId="17" fillId="14" borderId="0" xfId="0" applyFont="1" applyFill="1" applyBorder="1"/>
    <xf numFmtId="0" fontId="18" fillId="15" borderId="0" xfId="2" applyFont="1" applyFill="1" applyBorder="1" applyAlignment="1">
      <alignment horizontal="left"/>
    </xf>
    <xf numFmtId="0" fontId="17" fillId="15" borderId="0" xfId="0" applyFont="1" applyFill="1" applyBorder="1"/>
    <xf numFmtId="20" fontId="17" fillId="2" borderId="0" xfId="0" applyNumberFormat="1" applyFont="1" applyFill="1" applyBorder="1" applyAlignment="1">
      <alignment horizontal="left"/>
    </xf>
    <xf numFmtId="0" fontId="18" fillId="3" borderId="0" xfId="2" applyFont="1" applyFill="1" applyBorder="1" applyAlignment="1">
      <alignment horizontal="left"/>
    </xf>
    <xf numFmtId="0" fontId="15" fillId="3" borderId="0" xfId="2" applyFont="1" applyFill="1" applyBorder="1" applyAlignment="1">
      <alignment horizontal="left"/>
    </xf>
    <xf numFmtId="0" fontId="17" fillId="3" borderId="0" xfId="0" applyFont="1" applyFill="1" applyBorder="1"/>
    <xf numFmtId="0" fontId="18" fillId="5" borderId="0" xfId="2" applyFont="1" applyFill="1" applyBorder="1" applyAlignment="1">
      <alignment horizontal="left"/>
    </xf>
    <xf numFmtId="20" fontId="11" fillId="5" borderId="0" xfId="0" applyNumberFormat="1" applyFont="1" applyFill="1" applyBorder="1" applyAlignment="1">
      <alignment horizontal="left"/>
    </xf>
    <xf numFmtId="0" fontId="11" fillId="5" borderId="0" xfId="0" applyFont="1" applyFill="1" applyBorder="1"/>
    <xf numFmtId="0" fontId="17" fillId="5" borderId="0" xfId="0" applyFont="1" applyFill="1" applyBorder="1"/>
    <xf numFmtId="0" fontId="11" fillId="2" borderId="0" xfId="0" applyFont="1" applyFill="1" applyBorder="1"/>
    <xf numFmtId="20" fontId="11" fillId="2" borderId="0" xfId="0" applyNumberFormat="1" applyFont="1" applyFill="1" applyBorder="1" applyAlignment="1">
      <alignment horizontal="left"/>
    </xf>
    <xf numFmtId="0" fontId="18" fillId="4" borderId="0" xfId="2" applyFont="1" applyFill="1" applyBorder="1" applyAlignment="1">
      <alignment horizontal="left"/>
    </xf>
    <xf numFmtId="0" fontId="17" fillId="4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left"/>
    </xf>
    <xf numFmtId="0" fontId="2" fillId="2" borderId="0" xfId="0" applyFont="1" applyFill="1" applyBorder="1"/>
    <xf numFmtId="20" fontId="2" fillId="5" borderId="0" xfId="0" applyNumberFormat="1" applyFont="1" applyFill="1" applyBorder="1" applyAlignment="1">
      <alignment horizontal="left"/>
    </xf>
    <xf numFmtId="0" fontId="4" fillId="5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4" borderId="0" xfId="2" applyFont="1" applyFill="1" applyBorder="1" applyAlignment="1">
      <alignment horizontal="left"/>
    </xf>
    <xf numFmtId="0" fontId="2" fillId="4" borderId="0" xfId="0" applyFont="1" applyFill="1" applyBorder="1"/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0" fillId="0" borderId="12" xfId="0" applyFont="1" applyBorder="1"/>
    <xf numFmtId="0" fontId="20" fillId="10" borderId="8" xfId="0" applyFont="1" applyFill="1" applyBorder="1"/>
    <xf numFmtId="0" fontId="21" fillId="0" borderId="2" xfId="0" applyFont="1" applyBorder="1"/>
    <xf numFmtId="0" fontId="21" fillId="11" borderId="3" xfId="0" applyFont="1" applyFill="1" applyBorder="1"/>
    <xf numFmtId="0" fontId="21" fillId="12" borderId="3" xfId="0" applyFont="1" applyFill="1" applyBorder="1"/>
    <xf numFmtId="0" fontId="18" fillId="0" borderId="6" xfId="0" applyFont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0" fillId="0" borderId="0" xfId="0" applyAlignment="1">
      <alignment horizontal="center"/>
    </xf>
    <xf numFmtId="0" fontId="18" fillId="0" borderId="8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35" fillId="16" borderId="1" xfId="0" applyFont="1" applyFill="1" applyBorder="1"/>
    <xf numFmtId="0" fontId="27" fillId="0" borderId="0" xfId="0" applyFont="1"/>
    <xf numFmtId="0" fontId="27" fillId="0" borderId="0" xfId="0" applyFont="1" applyFill="1" applyBorder="1"/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0" fillId="0" borderId="3" xfId="0" applyFont="1" applyBorder="1"/>
    <xf numFmtId="0" fontId="36" fillId="0" borderId="1" xfId="0" applyFont="1" applyFill="1" applyBorder="1"/>
    <xf numFmtId="0" fontId="36" fillId="0" borderId="0" xfId="0" applyFont="1" applyFill="1" applyBorder="1"/>
    <xf numFmtId="0" fontId="27" fillId="0" borderId="0" xfId="0" applyFont="1" applyBorder="1"/>
    <xf numFmtId="0" fontId="35" fillId="16" borderId="5" xfId="0" applyFont="1" applyFill="1" applyBorder="1"/>
    <xf numFmtId="0" fontId="35" fillId="16" borderId="6" xfId="0" applyFont="1" applyFill="1" applyBorder="1"/>
    <xf numFmtId="0" fontId="37" fillId="16" borderId="1" xfId="0" applyFont="1" applyFill="1" applyBorder="1"/>
    <xf numFmtId="0" fontId="31" fillId="0" borderId="0" xfId="0" applyFont="1" applyFill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" xfId="0" applyFont="1" applyBorder="1"/>
    <xf numFmtId="0" fontId="20" fillId="7" borderId="0" xfId="0" applyFont="1" applyFill="1" applyAlignment="1">
      <alignment horizontal="center"/>
    </xf>
    <xf numFmtId="0" fontId="2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296332</xdr:colOff>
      <xdr:row>0</xdr:row>
      <xdr:rowOff>0</xdr:rowOff>
    </xdr:from>
    <xdr:to>
      <xdr:col>11</xdr:col>
      <xdr:colOff>666750</xdr:colOff>
      <xdr:row>19</xdr:row>
      <xdr:rowOff>154782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582" y="0"/>
          <a:ext cx="7641168" cy="4298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0</xdr:row>
      <xdr:rowOff>190500</xdr:rowOff>
    </xdr:from>
    <xdr:to>
      <xdr:col>11</xdr:col>
      <xdr:colOff>433918</xdr:colOff>
      <xdr:row>20</xdr:row>
      <xdr:rowOff>170657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0" y="190500"/>
          <a:ext cx="7641168" cy="4298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3:N56"/>
  <sheetViews>
    <sheetView topLeftCell="A19" zoomScale="50" zoomScaleNormal="50" workbookViewId="0">
      <selection activeCell="Q24" sqref="Q24"/>
    </sheetView>
  </sheetViews>
  <sheetFormatPr baseColWidth="10" defaultColWidth="10.6640625" defaultRowHeight="16" x14ac:dyDescent="0.2"/>
  <cols>
    <col min="1" max="1" width="10.6640625" style="98" customWidth="1"/>
    <col min="2" max="2" width="10.6640625" style="100" customWidth="1"/>
    <col min="3" max="3" width="10.6640625" style="98" customWidth="1"/>
    <col min="4" max="4" width="15.33203125" style="98" customWidth="1"/>
    <col min="5" max="5" width="12" style="98" bestFit="1" customWidth="1"/>
    <col min="6" max="7" width="10.6640625" style="98"/>
    <col min="8" max="8" width="4.1640625" style="98" customWidth="1"/>
    <col min="9" max="9" width="10.6640625" style="100"/>
    <col min="10" max="11" width="10.6640625" style="98"/>
    <col min="12" max="12" width="13" style="98" customWidth="1"/>
    <col min="13" max="16384" width="10.6640625" style="98"/>
  </cols>
  <sheetData>
    <row r="13" spans="5:9" ht="18.75" x14ac:dyDescent="0.3">
      <c r="E13" s="95"/>
      <c r="F13" s="95"/>
      <c r="G13" s="96"/>
      <c r="H13" s="95"/>
      <c r="I13" s="97"/>
    </row>
    <row r="14" spans="5:9" ht="18.75" x14ac:dyDescent="0.3">
      <c r="E14" s="95"/>
      <c r="F14" s="95"/>
      <c r="G14" s="96" t="s">
        <v>85</v>
      </c>
      <c r="H14" s="95"/>
      <c r="I14" s="97"/>
    </row>
    <row r="15" spans="5:9" ht="18.75" x14ac:dyDescent="0.3">
      <c r="E15" s="95"/>
      <c r="F15" s="95"/>
      <c r="G15" s="96" t="s">
        <v>29</v>
      </c>
      <c r="H15" s="95"/>
      <c r="I15" s="97"/>
    </row>
    <row r="16" spans="5:9" ht="18.75" x14ac:dyDescent="0.3">
      <c r="E16" s="95"/>
      <c r="F16" s="95"/>
      <c r="G16" s="99"/>
      <c r="H16" s="95"/>
      <c r="I16" s="97"/>
    </row>
    <row r="17" spans="1:14" ht="18.75" x14ac:dyDescent="0.3">
      <c r="E17" s="95"/>
      <c r="F17" s="95"/>
      <c r="G17" s="101" t="s">
        <v>30</v>
      </c>
      <c r="H17" s="95"/>
      <c r="I17" s="97"/>
    </row>
    <row r="18" spans="1:14" ht="18.75" x14ac:dyDescent="0.3">
      <c r="E18" s="95"/>
      <c r="F18" s="95"/>
      <c r="G18" s="101" t="s">
        <v>31</v>
      </c>
      <c r="H18" s="95"/>
      <c r="I18" s="97"/>
    </row>
    <row r="19" spans="1:14" ht="18.75" x14ac:dyDescent="0.3">
      <c r="E19" s="95"/>
      <c r="F19" s="95"/>
      <c r="G19" s="101"/>
      <c r="H19" s="95"/>
      <c r="I19" s="97"/>
    </row>
    <row r="20" spans="1:14" ht="18.75" x14ac:dyDescent="0.3">
      <c r="E20" s="102"/>
      <c r="F20" s="95"/>
      <c r="G20" s="101" t="s">
        <v>32</v>
      </c>
      <c r="H20" s="95"/>
      <c r="I20" s="97"/>
    </row>
    <row r="21" spans="1:14" ht="18.75" x14ac:dyDescent="0.3">
      <c r="C21" s="100"/>
      <c r="D21" s="100"/>
      <c r="E21" s="105"/>
      <c r="F21" s="97"/>
      <c r="G21" s="103" t="s">
        <v>84</v>
      </c>
      <c r="H21" s="97"/>
      <c r="I21" s="97"/>
      <c r="J21" s="100"/>
      <c r="K21" s="100"/>
      <c r="L21" s="100"/>
      <c r="M21" s="100"/>
    </row>
    <row r="22" spans="1:14" ht="18.75" x14ac:dyDescent="0.3">
      <c r="E22" s="95"/>
      <c r="F22" s="95"/>
      <c r="G22" s="101"/>
      <c r="H22" s="95"/>
      <c r="I22" s="97"/>
    </row>
    <row r="23" spans="1:14" ht="18.75" x14ac:dyDescent="0.3">
      <c r="E23" s="95"/>
      <c r="F23" s="95"/>
      <c r="G23" s="103" t="s">
        <v>33</v>
      </c>
      <c r="H23" s="95"/>
      <c r="I23" s="97"/>
    </row>
    <row r="24" spans="1:14" ht="18.75" x14ac:dyDescent="0.3">
      <c r="E24" s="95"/>
      <c r="F24" s="95"/>
      <c r="G24" s="103" t="s">
        <v>34</v>
      </c>
      <c r="H24" s="95"/>
      <c r="I24" s="97"/>
    </row>
    <row r="26" spans="1:14" ht="18.75" x14ac:dyDescent="0.3">
      <c r="A26" s="104" t="s">
        <v>88</v>
      </c>
      <c r="B26" s="105"/>
      <c r="C26" s="105"/>
      <c r="D26" s="105"/>
      <c r="E26" s="105"/>
      <c r="F26" s="105"/>
      <c r="H26" s="106"/>
      <c r="I26" s="107" t="s">
        <v>89</v>
      </c>
      <c r="J26" s="108"/>
      <c r="K26" s="108"/>
      <c r="L26" s="108"/>
      <c r="M26" s="109"/>
      <c r="N26" s="110"/>
    </row>
    <row r="27" spans="1:14" ht="18.75" x14ac:dyDescent="0.3">
      <c r="A27" s="104" t="s">
        <v>0</v>
      </c>
      <c r="B27" s="105"/>
      <c r="C27" s="105"/>
      <c r="D27" s="105"/>
      <c r="E27" s="105"/>
      <c r="F27" s="105"/>
      <c r="G27" s="105"/>
      <c r="H27" s="106"/>
      <c r="I27" s="111" t="s">
        <v>0</v>
      </c>
      <c r="J27" s="112"/>
      <c r="K27" s="108"/>
      <c r="L27" s="108"/>
      <c r="M27" s="109"/>
      <c r="N27" s="110"/>
    </row>
    <row r="28" spans="1:14" ht="18.75" x14ac:dyDescent="0.3">
      <c r="A28" s="102"/>
      <c r="B28" s="139">
        <v>1</v>
      </c>
      <c r="C28" s="140" t="s">
        <v>1</v>
      </c>
      <c r="D28" s="140" t="s">
        <v>2</v>
      </c>
      <c r="E28" s="141" t="s">
        <v>3</v>
      </c>
      <c r="F28" s="141" t="s">
        <v>4</v>
      </c>
      <c r="G28" s="113" t="s">
        <v>5</v>
      </c>
      <c r="H28" s="106"/>
      <c r="I28" s="139">
        <v>1</v>
      </c>
      <c r="J28" s="149" t="s">
        <v>1</v>
      </c>
      <c r="K28" s="150" t="s">
        <v>6</v>
      </c>
      <c r="L28" s="151" t="s">
        <v>3</v>
      </c>
      <c r="M28" s="151" t="s">
        <v>4</v>
      </c>
      <c r="N28" s="114" t="s">
        <v>5</v>
      </c>
    </row>
    <row r="29" spans="1:14" ht="18.75" x14ac:dyDescent="0.3">
      <c r="A29" s="102"/>
      <c r="B29" s="139">
        <v>2</v>
      </c>
      <c r="C29" s="140" t="s">
        <v>1</v>
      </c>
      <c r="D29" s="140" t="s">
        <v>7</v>
      </c>
      <c r="E29" s="141" t="s">
        <v>3</v>
      </c>
      <c r="F29" s="141" t="s">
        <v>8</v>
      </c>
      <c r="G29" s="113"/>
      <c r="H29" s="106"/>
      <c r="I29" s="139">
        <v>2</v>
      </c>
      <c r="J29" s="149" t="s">
        <v>1</v>
      </c>
      <c r="K29" s="150" t="s">
        <v>6</v>
      </c>
      <c r="L29" s="151" t="s">
        <v>3</v>
      </c>
      <c r="M29" s="151" t="s">
        <v>8</v>
      </c>
      <c r="N29" s="114"/>
    </row>
    <row r="30" spans="1:14" ht="18.75" x14ac:dyDescent="0.3">
      <c r="A30" s="102"/>
      <c r="B30" s="139">
        <v>3</v>
      </c>
      <c r="C30" s="140" t="s">
        <v>1</v>
      </c>
      <c r="D30" s="140" t="s">
        <v>7</v>
      </c>
      <c r="E30" s="141" t="s">
        <v>3</v>
      </c>
      <c r="F30" s="141" t="s">
        <v>9</v>
      </c>
      <c r="G30" s="113"/>
      <c r="H30" s="106"/>
      <c r="I30" s="139">
        <v>3</v>
      </c>
      <c r="J30" s="149" t="s">
        <v>1</v>
      </c>
      <c r="K30" s="150" t="s">
        <v>6</v>
      </c>
      <c r="L30" s="151" t="s">
        <v>3</v>
      </c>
      <c r="M30" s="151" t="s">
        <v>9</v>
      </c>
      <c r="N30" s="114"/>
    </row>
    <row r="31" spans="1:14" ht="18.75" x14ac:dyDescent="0.3">
      <c r="B31" s="139">
        <v>4</v>
      </c>
      <c r="C31" s="140" t="s">
        <v>1</v>
      </c>
      <c r="D31" s="140" t="s">
        <v>7</v>
      </c>
      <c r="E31" s="141" t="s">
        <v>3</v>
      </c>
      <c r="F31" s="141" t="s">
        <v>14</v>
      </c>
      <c r="G31" s="113"/>
      <c r="H31" s="106"/>
      <c r="I31" s="139">
        <v>4</v>
      </c>
      <c r="J31" s="149" t="s">
        <v>1</v>
      </c>
      <c r="K31" s="150" t="s">
        <v>6</v>
      </c>
      <c r="L31" s="151" t="s">
        <v>3</v>
      </c>
      <c r="M31" s="151" t="s">
        <v>14</v>
      </c>
      <c r="N31" s="114"/>
    </row>
    <row r="32" spans="1:14" ht="18.75" x14ac:dyDescent="0.3">
      <c r="A32" s="102"/>
      <c r="B32" s="139">
        <v>5</v>
      </c>
      <c r="C32" s="142" t="s">
        <v>15</v>
      </c>
      <c r="D32" s="142" t="s">
        <v>28</v>
      </c>
      <c r="E32" s="143" t="s">
        <v>3</v>
      </c>
      <c r="F32" s="143" t="s">
        <v>4</v>
      </c>
      <c r="G32" s="113"/>
      <c r="H32" s="106"/>
      <c r="I32" s="139">
        <v>5</v>
      </c>
      <c r="J32" s="152" t="s">
        <v>1</v>
      </c>
      <c r="K32" s="153" t="s">
        <v>21</v>
      </c>
      <c r="L32" s="154" t="s">
        <v>3</v>
      </c>
      <c r="M32" s="155" t="s">
        <v>4</v>
      </c>
      <c r="N32" s="114"/>
    </row>
    <row r="33" spans="1:14" ht="18.75" x14ac:dyDescent="0.3">
      <c r="A33" s="102"/>
      <c r="B33" s="139">
        <v>6</v>
      </c>
      <c r="C33" s="142" t="s">
        <v>15</v>
      </c>
      <c r="D33" s="142" t="s">
        <v>28</v>
      </c>
      <c r="E33" s="143" t="s">
        <v>3</v>
      </c>
      <c r="F33" s="143" t="s">
        <v>8</v>
      </c>
      <c r="G33" s="113"/>
      <c r="H33" s="106"/>
      <c r="I33" s="139">
        <v>6</v>
      </c>
      <c r="J33" s="152" t="s">
        <v>1</v>
      </c>
      <c r="K33" s="153" t="s">
        <v>21</v>
      </c>
      <c r="L33" s="154" t="s">
        <v>3</v>
      </c>
      <c r="M33" s="155" t="s">
        <v>8</v>
      </c>
      <c r="N33" s="114"/>
    </row>
    <row r="34" spans="1:14" ht="18.75" x14ac:dyDescent="0.3">
      <c r="A34" s="102"/>
      <c r="B34" s="139">
        <v>7</v>
      </c>
      <c r="C34" s="142" t="s">
        <v>15</v>
      </c>
      <c r="D34" s="142" t="s">
        <v>28</v>
      </c>
      <c r="E34" s="143" t="s">
        <v>3</v>
      </c>
      <c r="F34" s="143" t="s">
        <v>9</v>
      </c>
      <c r="G34" s="113"/>
      <c r="H34" s="106"/>
      <c r="I34" s="139">
        <v>7</v>
      </c>
      <c r="J34" s="152" t="s">
        <v>1</v>
      </c>
      <c r="K34" s="153" t="s">
        <v>21</v>
      </c>
      <c r="L34" s="154" t="s">
        <v>3</v>
      </c>
      <c r="M34" s="155" t="s">
        <v>9</v>
      </c>
      <c r="N34" s="114"/>
    </row>
    <row r="35" spans="1:14" ht="18.75" x14ac:dyDescent="0.3">
      <c r="A35" s="102"/>
      <c r="B35" s="139">
        <v>8</v>
      </c>
      <c r="C35" s="144" t="s">
        <v>15</v>
      </c>
      <c r="D35" s="144" t="s">
        <v>16</v>
      </c>
      <c r="E35" s="145" t="s">
        <v>17</v>
      </c>
      <c r="F35" s="145" t="s">
        <v>13</v>
      </c>
      <c r="G35" s="113"/>
      <c r="H35" s="106"/>
      <c r="I35" s="139">
        <v>8</v>
      </c>
      <c r="J35" s="152" t="s">
        <v>1</v>
      </c>
      <c r="K35" s="153" t="s">
        <v>21</v>
      </c>
      <c r="L35" s="154" t="s">
        <v>3</v>
      </c>
      <c r="M35" s="155" t="s">
        <v>14</v>
      </c>
      <c r="N35" s="114"/>
    </row>
    <row r="36" spans="1:14" ht="18.75" x14ac:dyDescent="0.3">
      <c r="A36" s="102"/>
      <c r="B36" s="139">
        <v>9</v>
      </c>
      <c r="C36" s="140" t="s">
        <v>1</v>
      </c>
      <c r="D36" s="140" t="s">
        <v>7</v>
      </c>
      <c r="E36" s="141" t="s">
        <v>22</v>
      </c>
      <c r="F36" s="141" t="s">
        <v>4</v>
      </c>
      <c r="G36" s="113"/>
      <c r="H36" s="106"/>
      <c r="I36" s="139">
        <v>9</v>
      </c>
      <c r="J36" s="152" t="s">
        <v>1</v>
      </c>
      <c r="K36" s="153" t="s">
        <v>21</v>
      </c>
      <c r="L36" s="154" t="s">
        <v>3</v>
      </c>
      <c r="M36" s="155" t="s">
        <v>18</v>
      </c>
      <c r="N36" s="114"/>
    </row>
    <row r="37" spans="1:14" ht="18.75" x14ac:dyDescent="0.3">
      <c r="A37" s="102"/>
      <c r="B37" s="139">
        <v>10</v>
      </c>
      <c r="C37" s="140" t="s">
        <v>1</v>
      </c>
      <c r="D37" s="140" t="s">
        <v>7</v>
      </c>
      <c r="E37" s="141" t="s">
        <v>23</v>
      </c>
      <c r="F37" s="141" t="s">
        <v>8</v>
      </c>
      <c r="G37" s="113"/>
      <c r="H37" s="106"/>
      <c r="I37" s="139">
        <v>10</v>
      </c>
      <c r="J37" s="140" t="s">
        <v>1</v>
      </c>
      <c r="K37" s="140" t="s">
        <v>24</v>
      </c>
      <c r="L37" s="156" t="s">
        <v>3</v>
      </c>
      <c r="M37" s="141" t="s">
        <v>4</v>
      </c>
      <c r="N37" s="114"/>
    </row>
    <row r="38" spans="1:14" ht="18.75" x14ac:dyDescent="0.3">
      <c r="A38" s="102"/>
      <c r="B38" s="139">
        <v>11</v>
      </c>
      <c r="C38" s="146" t="s">
        <v>10</v>
      </c>
      <c r="D38" s="146" t="s">
        <v>11</v>
      </c>
      <c r="E38" s="147" t="s">
        <v>17</v>
      </c>
      <c r="F38" s="147" t="s">
        <v>13</v>
      </c>
      <c r="G38" s="113"/>
      <c r="H38" s="106"/>
      <c r="I38" s="139">
        <v>11</v>
      </c>
      <c r="J38" s="140" t="s">
        <v>1</v>
      </c>
      <c r="K38" s="140" t="s">
        <v>24</v>
      </c>
      <c r="L38" s="156" t="s">
        <v>3</v>
      </c>
      <c r="M38" s="141" t="s">
        <v>8</v>
      </c>
      <c r="N38" s="114"/>
    </row>
    <row r="39" spans="1:14" ht="18.75" x14ac:dyDescent="0.3">
      <c r="A39" s="102"/>
      <c r="B39" s="139">
        <v>12</v>
      </c>
      <c r="C39" s="142" t="s">
        <v>15</v>
      </c>
      <c r="D39" s="142" t="s">
        <v>28</v>
      </c>
      <c r="E39" s="143" t="s">
        <v>22</v>
      </c>
      <c r="F39" s="143" t="s">
        <v>4</v>
      </c>
      <c r="H39" s="106"/>
      <c r="I39" s="139">
        <v>12</v>
      </c>
      <c r="J39" s="140" t="s">
        <v>1</v>
      </c>
      <c r="K39" s="140" t="s">
        <v>24</v>
      </c>
      <c r="L39" s="156" t="s">
        <v>3</v>
      </c>
      <c r="M39" s="141" t="s">
        <v>9</v>
      </c>
      <c r="N39" s="114"/>
    </row>
    <row r="40" spans="1:14" ht="18.75" x14ac:dyDescent="0.3">
      <c r="A40" s="102"/>
      <c r="B40" s="139">
        <v>13</v>
      </c>
      <c r="C40" s="140" t="s">
        <v>1</v>
      </c>
      <c r="D40" s="141" t="s">
        <v>2</v>
      </c>
      <c r="E40" s="141" t="s">
        <v>27</v>
      </c>
      <c r="F40" s="141" t="s">
        <v>4</v>
      </c>
      <c r="G40" s="113"/>
      <c r="H40" s="106"/>
      <c r="I40" s="139">
        <v>13</v>
      </c>
      <c r="J40" s="140" t="s">
        <v>1</v>
      </c>
      <c r="K40" s="157" t="s">
        <v>24</v>
      </c>
      <c r="L40" s="156" t="s">
        <v>3</v>
      </c>
      <c r="M40" s="141" t="s">
        <v>14</v>
      </c>
      <c r="N40" s="114"/>
    </row>
    <row r="41" spans="1:14" ht="18.75" x14ac:dyDescent="0.3">
      <c r="A41" s="102"/>
      <c r="B41" s="139">
        <v>14</v>
      </c>
      <c r="C41" s="140" t="s">
        <v>1</v>
      </c>
      <c r="D41" s="141" t="s">
        <v>2</v>
      </c>
      <c r="E41" s="141" t="s">
        <v>27</v>
      </c>
      <c r="F41" s="141" t="s">
        <v>8</v>
      </c>
      <c r="G41" s="114"/>
      <c r="H41" s="106"/>
      <c r="I41" s="139">
        <v>14</v>
      </c>
      <c r="J41" s="140" t="s">
        <v>1</v>
      </c>
      <c r="K41" s="157" t="s">
        <v>24</v>
      </c>
      <c r="L41" s="156" t="s">
        <v>3</v>
      </c>
      <c r="M41" s="141" t="s">
        <v>18</v>
      </c>
      <c r="N41" s="114"/>
    </row>
    <row r="42" spans="1:14" ht="18.75" x14ac:dyDescent="0.3">
      <c r="A42" s="102"/>
      <c r="B42" s="139">
        <v>15</v>
      </c>
      <c r="C42" s="140" t="s">
        <v>1</v>
      </c>
      <c r="D42" s="148" t="s">
        <v>2</v>
      </c>
      <c r="E42" s="141" t="s">
        <v>27</v>
      </c>
      <c r="F42" s="141" t="s">
        <v>9</v>
      </c>
      <c r="G42" s="113"/>
      <c r="H42" s="106"/>
      <c r="I42" s="139">
        <v>15</v>
      </c>
      <c r="J42" s="140" t="s">
        <v>1</v>
      </c>
      <c r="K42" s="157" t="s">
        <v>24</v>
      </c>
      <c r="L42" s="156" t="s">
        <v>3</v>
      </c>
      <c r="M42" s="141" t="s">
        <v>20</v>
      </c>
      <c r="N42" s="114"/>
    </row>
    <row r="43" spans="1:14" ht="18.75" x14ac:dyDescent="0.3">
      <c r="A43" s="102"/>
      <c r="B43" s="139">
        <v>16</v>
      </c>
      <c r="C43" s="140" t="s">
        <v>1</v>
      </c>
      <c r="D43" s="148" t="s">
        <v>2</v>
      </c>
      <c r="E43" s="141" t="s">
        <v>27</v>
      </c>
      <c r="F43" s="141" t="s">
        <v>14</v>
      </c>
      <c r="G43" s="113"/>
      <c r="H43" s="106"/>
      <c r="I43" s="139">
        <v>16</v>
      </c>
      <c r="J43" s="158" t="s">
        <v>1</v>
      </c>
      <c r="K43" s="158" t="s">
        <v>19</v>
      </c>
      <c r="L43" s="159" t="s">
        <v>3</v>
      </c>
      <c r="M43" s="159" t="s">
        <v>4</v>
      </c>
      <c r="N43" s="114"/>
    </row>
    <row r="44" spans="1:14" ht="18.75" x14ac:dyDescent="0.3">
      <c r="A44" s="102"/>
      <c r="B44" s="139">
        <v>17</v>
      </c>
      <c r="C44" s="144" t="s">
        <v>1</v>
      </c>
      <c r="D44" s="144" t="s">
        <v>16</v>
      </c>
      <c r="E44" s="145" t="s">
        <v>17</v>
      </c>
      <c r="F44" s="145" t="s">
        <v>25</v>
      </c>
      <c r="G44" s="114"/>
      <c r="H44" s="106"/>
      <c r="I44" s="139">
        <v>17</v>
      </c>
      <c r="J44" s="158" t="s">
        <v>1</v>
      </c>
      <c r="K44" s="158" t="s">
        <v>19</v>
      </c>
      <c r="L44" s="159" t="s">
        <v>3</v>
      </c>
      <c r="M44" s="159" t="s">
        <v>8</v>
      </c>
      <c r="N44" s="114"/>
    </row>
    <row r="45" spans="1:14" ht="18.75" x14ac:dyDescent="0.3">
      <c r="A45" s="102"/>
      <c r="B45" s="139">
        <v>18</v>
      </c>
      <c r="C45" s="142" t="s">
        <v>15</v>
      </c>
      <c r="D45" s="142" t="s">
        <v>28</v>
      </c>
      <c r="E45" s="143" t="s">
        <v>26</v>
      </c>
      <c r="F45" s="143" t="s">
        <v>4</v>
      </c>
      <c r="G45" s="113"/>
      <c r="H45" s="106"/>
      <c r="I45" s="139">
        <v>18</v>
      </c>
      <c r="J45" s="158" t="s">
        <v>1</v>
      </c>
      <c r="K45" s="158" t="s">
        <v>19</v>
      </c>
      <c r="L45" s="159" t="s">
        <v>3</v>
      </c>
      <c r="M45" s="159" t="s">
        <v>9</v>
      </c>
      <c r="N45" s="114"/>
    </row>
    <row r="46" spans="1:14" ht="18.75" x14ac:dyDescent="0.3">
      <c r="A46" s="102"/>
      <c r="B46" s="139">
        <v>19</v>
      </c>
      <c r="C46" s="142" t="s">
        <v>15</v>
      </c>
      <c r="D46" s="142" t="s">
        <v>28</v>
      </c>
      <c r="E46" s="143" t="s">
        <v>26</v>
      </c>
      <c r="F46" s="143" t="s">
        <v>8</v>
      </c>
      <c r="G46" s="113"/>
      <c r="H46" s="106"/>
      <c r="I46" s="139">
        <v>19</v>
      </c>
      <c r="J46" s="158" t="s">
        <v>1</v>
      </c>
      <c r="K46" s="158" t="s">
        <v>19</v>
      </c>
      <c r="L46" s="159" t="s">
        <v>3</v>
      </c>
      <c r="M46" s="159" t="s">
        <v>14</v>
      </c>
      <c r="N46" s="114"/>
    </row>
    <row r="47" spans="1:14" ht="18.75" x14ac:dyDescent="0.3">
      <c r="A47" s="102"/>
      <c r="B47" s="139">
        <v>20</v>
      </c>
      <c r="C47" s="140" t="s">
        <v>1</v>
      </c>
      <c r="D47" s="141" t="s">
        <v>2</v>
      </c>
      <c r="E47" s="141" t="s">
        <v>26</v>
      </c>
      <c r="F47" s="141" t="s">
        <v>4</v>
      </c>
      <c r="G47" s="114"/>
      <c r="H47" s="106"/>
      <c r="I47" s="139">
        <v>20</v>
      </c>
      <c r="J47" s="158" t="s">
        <v>1</v>
      </c>
      <c r="K47" s="158" t="s">
        <v>19</v>
      </c>
      <c r="L47" s="159" t="s">
        <v>3</v>
      </c>
      <c r="M47" s="159" t="s">
        <v>18</v>
      </c>
      <c r="N47" s="114"/>
    </row>
    <row r="48" spans="1:14" ht="18.75" x14ac:dyDescent="0.3">
      <c r="A48" s="102"/>
      <c r="B48" s="139">
        <v>21</v>
      </c>
      <c r="C48" s="140" t="s">
        <v>1</v>
      </c>
      <c r="D48" s="141" t="s">
        <v>2</v>
      </c>
      <c r="E48" s="141" t="s">
        <v>26</v>
      </c>
      <c r="F48" s="141" t="s">
        <v>8</v>
      </c>
      <c r="G48" s="113"/>
      <c r="H48" s="106"/>
      <c r="I48" s="139">
        <v>21</v>
      </c>
      <c r="J48" s="158" t="s">
        <v>1</v>
      </c>
      <c r="K48" s="158" t="s">
        <v>19</v>
      </c>
      <c r="L48" s="159" t="s">
        <v>3</v>
      </c>
      <c r="M48" s="159" t="s">
        <v>20</v>
      </c>
      <c r="N48" s="114"/>
    </row>
    <row r="49" spans="1:14" ht="18.75" x14ac:dyDescent="0.3">
      <c r="A49" s="102"/>
      <c r="B49" s="139">
        <v>22</v>
      </c>
      <c r="C49" s="146" t="s">
        <v>10</v>
      </c>
      <c r="D49" s="146" t="s">
        <v>11</v>
      </c>
      <c r="E49" s="147" t="s">
        <v>17</v>
      </c>
      <c r="F49" s="147" t="s">
        <v>25</v>
      </c>
      <c r="G49" s="113"/>
      <c r="H49" s="106"/>
      <c r="I49" s="139"/>
      <c r="J49" s="90"/>
      <c r="K49" s="90"/>
      <c r="L49" s="90"/>
      <c r="M49" s="90"/>
      <c r="N49" s="114"/>
    </row>
    <row r="50" spans="1:14" ht="18.75" x14ac:dyDescent="0.3">
      <c r="A50" s="102"/>
      <c r="B50" s="139">
        <v>23</v>
      </c>
      <c r="C50" s="142" t="s">
        <v>15</v>
      </c>
      <c r="D50" s="142" t="s">
        <v>28</v>
      </c>
      <c r="E50" s="143" t="s">
        <v>12</v>
      </c>
      <c r="F50" s="143" t="s">
        <v>13</v>
      </c>
      <c r="H50" s="106"/>
      <c r="N50" s="114"/>
    </row>
    <row r="51" spans="1:14" ht="18.75" x14ac:dyDescent="0.3">
      <c r="A51" s="102"/>
      <c r="B51" s="139">
        <v>24</v>
      </c>
      <c r="C51" s="140" t="s">
        <v>1</v>
      </c>
      <c r="D51" s="148" t="s">
        <v>2</v>
      </c>
      <c r="E51" s="141" t="s">
        <v>17</v>
      </c>
      <c r="F51" s="141" t="s">
        <v>13</v>
      </c>
      <c r="G51" s="114"/>
      <c r="H51" s="106"/>
      <c r="I51" s="97" t="s">
        <v>64</v>
      </c>
      <c r="N51" s="115"/>
    </row>
    <row r="52" spans="1:14" ht="18.75" x14ac:dyDescent="0.3">
      <c r="B52" s="139"/>
    </row>
    <row r="53" spans="1:14" ht="18.75" x14ac:dyDescent="0.3">
      <c r="B53" s="139"/>
      <c r="G53" s="113"/>
    </row>
    <row r="54" spans="1:14" ht="18.75" x14ac:dyDescent="0.3">
      <c r="B54" s="139"/>
      <c r="C54" s="90"/>
      <c r="D54" s="90"/>
      <c r="E54" s="90"/>
      <c r="F54" s="90"/>
      <c r="G54" s="114"/>
    </row>
    <row r="55" spans="1:14" ht="18.75" x14ac:dyDescent="0.3">
      <c r="B55" s="97" t="s">
        <v>63</v>
      </c>
    </row>
    <row r="56" spans="1:14" x14ac:dyDescent="0.2">
      <c r="B56" s="116" t="s">
        <v>83</v>
      </c>
    </row>
  </sheetData>
  <phoneticPr fontId="7" type="noConversion"/>
  <pageMargins left="0.75000000000000011" right="0.75000000000000011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1"/>
  <sheetViews>
    <sheetView topLeftCell="C1" workbookViewId="0">
      <selection activeCell="P3" sqref="P3"/>
    </sheetView>
  </sheetViews>
  <sheetFormatPr baseColWidth="10" defaultColWidth="8.83203125" defaultRowHeight="16" x14ac:dyDescent="0.2"/>
  <cols>
    <col min="1" max="1" width="9.33203125" customWidth="1"/>
    <col min="2" max="2" width="27.33203125" customWidth="1"/>
    <col min="3" max="3" width="11.6640625" style="180" customWidth="1"/>
    <col min="4" max="5" width="8" style="188" customWidth="1"/>
    <col min="8" max="8" width="22.1640625" customWidth="1"/>
    <col min="9" max="9" width="12.33203125" customWidth="1"/>
    <col min="10" max="10" width="7.5" style="188" customWidth="1"/>
    <col min="11" max="11" width="8" style="188" customWidth="1"/>
    <col min="14" max="14" width="24.1640625" customWidth="1"/>
    <col min="15" max="15" width="8.6640625" style="188" customWidth="1"/>
  </cols>
  <sheetData>
    <row r="1" spans="1:16" ht="21" x14ac:dyDescent="0.35">
      <c r="A1" s="15" t="s">
        <v>44</v>
      </c>
      <c r="B1" s="15"/>
    </row>
    <row r="3" spans="1:16" ht="18.75" x14ac:dyDescent="0.3">
      <c r="A3" s="17"/>
      <c r="B3" s="22" t="s">
        <v>49</v>
      </c>
      <c r="C3" s="186">
        <v>2</v>
      </c>
      <c r="D3" s="79" t="s">
        <v>52</v>
      </c>
      <c r="E3" s="79" t="s">
        <v>196</v>
      </c>
      <c r="G3" s="17"/>
      <c r="H3" s="22" t="s">
        <v>49</v>
      </c>
      <c r="I3" s="17">
        <v>2</v>
      </c>
      <c r="J3" s="79" t="s">
        <v>52</v>
      </c>
      <c r="K3" s="79" t="s">
        <v>196</v>
      </c>
      <c r="M3" s="17"/>
      <c r="N3" s="22" t="s">
        <v>62</v>
      </c>
      <c r="O3" s="79"/>
    </row>
    <row r="4" spans="1:16" ht="18.75" x14ac:dyDescent="0.3">
      <c r="A4" s="25" t="s">
        <v>46</v>
      </c>
      <c r="B4" s="20" t="s">
        <v>105</v>
      </c>
      <c r="C4" s="181">
        <v>11.4</v>
      </c>
      <c r="D4" s="179">
        <v>3</v>
      </c>
      <c r="E4" s="63">
        <v>8</v>
      </c>
      <c r="G4" s="25" t="s">
        <v>46</v>
      </c>
      <c r="H4" s="20" t="s">
        <v>105</v>
      </c>
      <c r="I4" s="185">
        <v>14.17</v>
      </c>
      <c r="J4" s="179">
        <v>1</v>
      </c>
      <c r="K4" s="63">
        <v>12</v>
      </c>
      <c r="M4" s="202">
        <v>1</v>
      </c>
      <c r="N4" s="20" t="s">
        <v>123</v>
      </c>
      <c r="O4" s="63">
        <v>22</v>
      </c>
      <c r="P4" s="91"/>
    </row>
    <row r="5" spans="1:16" ht="18.75" x14ac:dyDescent="0.3">
      <c r="A5" s="26" t="s">
        <v>36</v>
      </c>
      <c r="B5" s="37" t="s">
        <v>123</v>
      </c>
      <c r="C5" s="88">
        <v>13.54</v>
      </c>
      <c r="D5" s="198">
        <v>1</v>
      </c>
      <c r="E5" s="63">
        <v>12</v>
      </c>
      <c r="G5" s="26" t="s">
        <v>36</v>
      </c>
      <c r="H5" s="37" t="s">
        <v>145</v>
      </c>
      <c r="I5" s="88">
        <v>6.8</v>
      </c>
      <c r="J5" s="198">
        <v>3</v>
      </c>
      <c r="K5" s="63">
        <v>8</v>
      </c>
      <c r="M5" s="203">
        <v>2</v>
      </c>
      <c r="N5" s="37" t="s">
        <v>105</v>
      </c>
      <c r="O5" s="63">
        <v>20</v>
      </c>
      <c r="P5" s="91"/>
    </row>
    <row r="6" spans="1:16" ht="18.75" x14ac:dyDescent="0.3">
      <c r="A6" s="27" t="s">
        <v>47</v>
      </c>
      <c r="B6" s="37" t="s">
        <v>145</v>
      </c>
      <c r="C6" s="89">
        <v>13.33</v>
      </c>
      <c r="D6" s="198">
        <v>2</v>
      </c>
      <c r="E6" s="63">
        <v>10</v>
      </c>
      <c r="G6" s="27" t="s">
        <v>47</v>
      </c>
      <c r="H6" s="37" t="s">
        <v>123</v>
      </c>
      <c r="I6" s="89">
        <v>11.87</v>
      </c>
      <c r="J6" s="198">
        <v>2</v>
      </c>
      <c r="K6" s="63">
        <v>10</v>
      </c>
      <c r="M6" s="203">
        <v>3</v>
      </c>
      <c r="N6" s="37" t="s">
        <v>145</v>
      </c>
      <c r="O6" s="63">
        <v>18</v>
      </c>
      <c r="P6" s="91"/>
    </row>
    <row r="7" spans="1:16" ht="18.75" x14ac:dyDescent="0.3">
      <c r="A7" s="61" t="s">
        <v>48</v>
      </c>
      <c r="B7" s="20"/>
      <c r="C7" s="20"/>
      <c r="D7" s="63"/>
      <c r="E7" s="63"/>
      <c r="G7" s="61" t="s">
        <v>48</v>
      </c>
      <c r="H7" s="20"/>
      <c r="I7" s="20"/>
      <c r="J7" s="63"/>
      <c r="K7" s="63"/>
      <c r="M7" s="187"/>
      <c r="N7" s="20"/>
      <c r="O7" s="63"/>
      <c r="P7" s="91"/>
    </row>
    <row r="8" spans="1:16" s="55" customFormat="1" ht="21" x14ac:dyDescent="0.35">
      <c r="A8" s="66" t="s">
        <v>50</v>
      </c>
      <c r="B8" s="65"/>
      <c r="C8" s="182"/>
      <c r="D8" s="199"/>
      <c r="E8" s="199"/>
      <c r="G8" s="67" t="s">
        <v>50</v>
      </c>
      <c r="H8" s="65"/>
      <c r="I8" s="182"/>
      <c r="J8" s="199"/>
      <c r="K8" s="199"/>
      <c r="M8" s="204"/>
      <c r="N8" s="65"/>
      <c r="O8" s="199"/>
      <c r="P8" s="58"/>
    </row>
    <row r="9" spans="1:16" s="55" customFormat="1" ht="21" x14ac:dyDescent="0.35">
      <c r="A9" s="59"/>
      <c r="B9" s="60"/>
      <c r="C9" s="183"/>
      <c r="D9" s="200"/>
      <c r="E9" s="200"/>
      <c r="G9" s="59"/>
      <c r="H9" s="60"/>
      <c r="I9" s="58"/>
      <c r="J9" s="200"/>
      <c r="K9" s="200"/>
      <c r="M9" s="59"/>
      <c r="N9" s="60"/>
      <c r="O9" s="200"/>
      <c r="P9" s="58"/>
    </row>
    <row r="11" spans="1:16" ht="18.75" x14ac:dyDescent="0.3">
      <c r="A11" s="28" t="s">
        <v>51</v>
      </c>
      <c r="B11" s="24" t="s">
        <v>52</v>
      </c>
      <c r="C11" s="184" t="s">
        <v>53</v>
      </c>
      <c r="D11" s="201"/>
      <c r="E11" s="201"/>
      <c r="F11" s="29"/>
    </row>
    <row r="12" spans="1:16" x14ac:dyDescent="0.2">
      <c r="B12" s="24" t="s">
        <v>54</v>
      </c>
      <c r="C12" s="184">
        <v>12</v>
      </c>
      <c r="D12" s="201"/>
      <c r="E12" s="201"/>
      <c r="F12" s="29"/>
    </row>
    <row r="13" spans="1:16" x14ac:dyDescent="0.2">
      <c r="B13" s="24" t="s">
        <v>55</v>
      </c>
      <c r="C13" s="184">
        <v>10</v>
      </c>
      <c r="D13" s="201"/>
      <c r="E13" s="201"/>
      <c r="F13" s="29"/>
    </row>
    <row r="14" spans="1:16" x14ac:dyDescent="0.2">
      <c r="B14" s="24" t="s">
        <v>56</v>
      </c>
      <c r="C14" s="184">
        <v>8</v>
      </c>
      <c r="D14" s="201"/>
      <c r="E14" s="201"/>
      <c r="F14" s="29"/>
    </row>
    <row r="15" spans="1:16" x14ac:dyDescent="0.2">
      <c r="B15" s="24" t="s">
        <v>57</v>
      </c>
      <c r="C15" s="184">
        <v>6</v>
      </c>
      <c r="D15" s="201"/>
      <c r="E15" s="201"/>
      <c r="F15" s="29"/>
    </row>
    <row r="16" spans="1:16" x14ac:dyDescent="0.2">
      <c r="B16" s="24" t="s">
        <v>37</v>
      </c>
      <c r="C16" s="184">
        <v>4</v>
      </c>
      <c r="D16" s="201"/>
      <c r="E16" s="201"/>
      <c r="F16" s="29"/>
    </row>
    <row r="17" spans="1:6" x14ac:dyDescent="0.2">
      <c r="B17" s="24" t="s">
        <v>58</v>
      </c>
      <c r="C17" s="184">
        <v>2</v>
      </c>
      <c r="D17" s="201"/>
      <c r="E17" s="201"/>
      <c r="F17" s="29"/>
    </row>
    <row r="19" spans="1:6" x14ac:dyDescent="0.2">
      <c r="A19" t="s">
        <v>59</v>
      </c>
    </row>
    <row r="20" spans="1:6" x14ac:dyDescent="0.2">
      <c r="A20" t="s">
        <v>60</v>
      </c>
    </row>
    <row r="21" spans="1:6" x14ac:dyDescent="0.2">
      <c r="A21" t="s">
        <v>61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workbookViewId="0">
      <selection activeCell="I29" sqref="I29"/>
    </sheetView>
  </sheetViews>
  <sheetFormatPr baseColWidth="10" defaultColWidth="10.6640625" defaultRowHeight="16" x14ac:dyDescent="0.2"/>
  <cols>
    <col min="1" max="1" width="5.5" style="14" customWidth="1"/>
    <col min="2" max="2" width="8.83203125" style="14" customWidth="1"/>
    <col min="3" max="3" width="6.1640625" style="14" customWidth="1"/>
    <col min="4" max="4" width="28.6640625" style="195" customWidth="1"/>
    <col min="5" max="5" width="8.6640625" style="14" customWidth="1"/>
    <col min="6" max="6" width="10.6640625" style="14" customWidth="1"/>
    <col min="7" max="7" width="6.5" style="14" customWidth="1"/>
    <col min="8" max="8" width="26.5" style="195" customWidth="1"/>
    <col min="9" max="16384" width="10.6640625" style="14"/>
  </cols>
  <sheetData>
    <row r="2" spans="2:14" ht="30" customHeight="1" x14ac:dyDescent="0.35">
      <c r="D2" s="197" t="s">
        <v>199</v>
      </c>
    </row>
    <row r="3" spans="2:14" ht="23.25" x14ac:dyDescent="0.35">
      <c r="B3" s="127"/>
      <c r="D3" s="190"/>
      <c r="E3" s="116"/>
      <c r="F3" s="128"/>
    </row>
    <row r="4" spans="2:14" ht="26.25" x14ac:dyDescent="0.4">
      <c r="D4" s="191" t="s">
        <v>186</v>
      </c>
      <c r="F4" s="34"/>
      <c r="H4" s="205" t="s">
        <v>187</v>
      </c>
    </row>
    <row r="6" spans="2:14" ht="18.75" x14ac:dyDescent="0.3">
      <c r="C6" s="124">
        <v>1</v>
      </c>
      <c r="D6" s="192" t="s">
        <v>197</v>
      </c>
      <c r="E6" s="46"/>
      <c r="G6" s="129">
        <v>1</v>
      </c>
      <c r="H6" s="20" t="s">
        <v>123</v>
      </c>
      <c r="I6" s="48"/>
    </row>
    <row r="7" spans="2:14" ht="18.75" x14ac:dyDescent="0.3">
      <c r="B7" s="130"/>
      <c r="C7" s="124">
        <v>2</v>
      </c>
      <c r="D7" s="192" t="s">
        <v>198</v>
      </c>
      <c r="E7" s="46"/>
      <c r="F7" s="130"/>
      <c r="G7" s="129">
        <v>2</v>
      </c>
      <c r="H7" s="20" t="s">
        <v>105</v>
      </c>
      <c r="I7" s="48"/>
      <c r="L7" s="55"/>
      <c r="M7" s="55"/>
      <c r="N7" s="55"/>
    </row>
    <row r="8" spans="2:14" ht="18.75" x14ac:dyDescent="0.3">
      <c r="B8" s="130"/>
      <c r="C8" s="124">
        <v>3</v>
      </c>
      <c r="D8" s="192" t="s">
        <v>109</v>
      </c>
      <c r="E8" s="46"/>
      <c r="F8" s="130"/>
      <c r="G8" s="129">
        <v>3</v>
      </c>
      <c r="H8" s="20" t="s">
        <v>145</v>
      </c>
      <c r="I8" s="48"/>
      <c r="L8" s="54"/>
      <c r="M8" s="54"/>
      <c r="N8" s="55"/>
    </row>
    <row r="9" spans="2:14" ht="18.75" x14ac:dyDescent="0.3">
      <c r="B9" s="130"/>
      <c r="C9" s="124"/>
      <c r="D9" s="133"/>
      <c r="E9" s="56"/>
      <c r="G9" s="129"/>
      <c r="H9" s="133"/>
      <c r="I9" s="54"/>
      <c r="L9" s="54"/>
      <c r="M9" s="54"/>
      <c r="N9" s="55"/>
    </row>
    <row r="10" spans="2:14" ht="18.75" x14ac:dyDescent="0.3">
      <c r="B10" s="130"/>
      <c r="C10" s="126"/>
      <c r="D10" s="56"/>
      <c r="E10" s="56"/>
      <c r="G10" s="68"/>
      <c r="H10" s="56"/>
      <c r="L10" s="134"/>
      <c r="M10" s="54"/>
      <c r="N10" s="55"/>
    </row>
    <row r="11" spans="2:14" ht="18.75" x14ac:dyDescent="0.3">
      <c r="B11" s="130"/>
      <c r="C11" s="170"/>
      <c r="D11" s="60"/>
      <c r="E11" s="60"/>
      <c r="L11" s="54"/>
      <c r="M11" s="54"/>
      <c r="N11" s="55"/>
    </row>
    <row r="12" spans="2:14" ht="18.75" x14ac:dyDescent="0.3">
      <c r="B12" s="130"/>
      <c r="C12" s="170"/>
      <c r="D12" s="171" t="s">
        <v>189</v>
      </c>
      <c r="E12" s="60"/>
      <c r="H12" s="205" t="s">
        <v>188</v>
      </c>
      <c r="L12" s="54"/>
      <c r="M12" s="54"/>
      <c r="N12" s="55"/>
    </row>
    <row r="13" spans="2:14" ht="18.75" x14ac:dyDescent="0.3">
      <c r="B13" s="130"/>
      <c r="C13" s="124">
        <v>1</v>
      </c>
      <c r="D13" s="192" t="s">
        <v>137</v>
      </c>
      <c r="E13" s="60"/>
      <c r="G13" s="129">
        <v>1</v>
      </c>
      <c r="H13" s="131" t="s">
        <v>165</v>
      </c>
      <c r="L13" s="54"/>
      <c r="M13" s="54"/>
      <c r="N13" s="55"/>
    </row>
    <row r="14" spans="2:14" ht="18.75" x14ac:dyDescent="0.3">
      <c r="C14" s="124">
        <v>2</v>
      </c>
      <c r="D14" s="192" t="s">
        <v>173</v>
      </c>
      <c r="G14" s="132">
        <v>2</v>
      </c>
      <c r="H14" s="206" t="s">
        <v>158</v>
      </c>
      <c r="L14" s="54"/>
      <c r="M14" s="54"/>
      <c r="N14" s="55"/>
    </row>
    <row r="15" spans="2:14" ht="18.75" x14ac:dyDescent="0.3">
      <c r="C15" s="124">
        <v>3</v>
      </c>
      <c r="D15" s="192" t="s">
        <v>154</v>
      </c>
      <c r="E15" s="126"/>
      <c r="G15" s="132">
        <v>3</v>
      </c>
      <c r="H15" s="133" t="s">
        <v>162</v>
      </c>
      <c r="L15" s="55"/>
      <c r="M15" s="55"/>
      <c r="N15" s="55"/>
    </row>
    <row r="16" spans="2:14" ht="18.75" x14ac:dyDescent="0.3">
      <c r="B16" s="130"/>
      <c r="C16" s="124">
        <v>4</v>
      </c>
      <c r="D16" s="192" t="s">
        <v>143</v>
      </c>
      <c r="E16" s="28"/>
      <c r="F16" s="130"/>
      <c r="G16" s="129">
        <v>4</v>
      </c>
      <c r="H16" s="192" t="s">
        <v>164</v>
      </c>
      <c r="L16" s="55"/>
      <c r="M16" s="55"/>
      <c r="N16" s="55"/>
    </row>
    <row r="17" spans="2:12" ht="18.75" x14ac:dyDescent="0.3">
      <c r="B17" s="130"/>
      <c r="C17" s="126"/>
      <c r="D17" s="122"/>
      <c r="E17" s="28"/>
      <c r="F17" s="130"/>
      <c r="G17" s="68"/>
      <c r="H17" s="56"/>
    </row>
    <row r="18" spans="2:12" x14ac:dyDescent="0.2">
      <c r="B18" s="130"/>
      <c r="K18" s="135"/>
      <c r="L18" s="135"/>
    </row>
    <row r="19" spans="2:12" ht="18.75" x14ac:dyDescent="0.3">
      <c r="B19" s="130"/>
      <c r="D19" s="205" t="s">
        <v>199</v>
      </c>
      <c r="K19" s="135"/>
      <c r="L19" s="135"/>
    </row>
    <row r="20" spans="2:12" x14ac:dyDescent="0.2">
      <c r="B20" s="130"/>
      <c r="K20" s="135"/>
      <c r="L20" s="135"/>
    </row>
    <row r="21" spans="2:12" ht="19" x14ac:dyDescent="0.25">
      <c r="B21" s="130"/>
      <c r="C21" s="28"/>
      <c r="D21" s="122"/>
      <c r="E21" s="28"/>
      <c r="K21" s="135"/>
      <c r="L21" s="135"/>
    </row>
    <row r="22" spans="2:12" ht="19" x14ac:dyDescent="0.25">
      <c r="B22" s="130"/>
      <c r="C22" s="28"/>
      <c r="D22" s="193" t="s">
        <v>192</v>
      </c>
      <c r="E22" s="28"/>
      <c r="G22" s="68"/>
      <c r="H22" s="194" t="s">
        <v>190</v>
      </c>
      <c r="K22" s="135"/>
      <c r="L22" s="135"/>
    </row>
    <row r="23" spans="2:12" ht="19" x14ac:dyDescent="0.25">
      <c r="C23" s="124">
        <v>1</v>
      </c>
      <c r="D23" s="192" t="s">
        <v>206</v>
      </c>
      <c r="G23" s="129">
        <v>1</v>
      </c>
      <c r="H23" s="131" t="s">
        <v>119</v>
      </c>
      <c r="K23" s="135"/>
      <c r="L23" s="135"/>
    </row>
    <row r="24" spans="2:12" ht="19" x14ac:dyDescent="0.25">
      <c r="C24" s="124">
        <v>2</v>
      </c>
      <c r="D24" s="133" t="s">
        <v>98</v>
      </c>
      <c r="E24" s="126"/>
      <c r="G24" s="132">
        <v>2</v>
      </c>
      <c r="H24" s="206" t="s">
        <v>96</v>
      </c>
      <c r="K24" s="135"/>
      <c r="L24" s="135"/>
    </row>
    <row r="25" spans="2:12" ht="19" x14ac:dyDescent="0.25">
      <c r="B25" s="130"/>
      <c r="C25" s="124">
        <v>3</v>
      </c>
      <c r="D25" s="133" t="s">
        <v>100</v>
      </c>
      <c r="E25" s="54"/>
      <c r="F25" s="130"/>
      <c r="G25" s="132">
        <v>3</v>
      </c>
      <c r="H25" s="206" t="s">
        <v>114</v>
      </c>
      <c r="L25" s="55"/>
    </row>
    <row r="26" spans="2:12" ht="19" x14ac:dyDescent="0.25">
      <c r="B26" s="130"/>
      <c r="C26" s="124">
        <v>4</v>
      </c>
      <c r="D26" s="133" t="s">
        <v>101</v>
      </c>
      <c r="E26" s="54"/>
      <c r="F26" s="130"/>
      <c r="G26" s="129">
        <v>4</v>
      </c>
      <c r="H26" s="65" t="s">
        <v>112</v>
      </c>
    </row>
    <row r="27" spans="2:12" ht="19" x14ac:dyDescent="0.25">
      <c r="B27" s="130"/>
      <c r="C27" s="126"/>
      <c r="D27" s="56"/>
      <c r="E27" s="54"/>
    </row>
    <row r="28" spans="2:12" ht="19" x14ac:dyDescent="0.25">
      <c r="B28" s="130"/>
      <c r="C28" s="28"/>
      <c r="D28" s="56"/>
      <c r="E28" s="54"/>
      <c r="G28" s="68"/>
      <c r="H28" s="60"/>
      <c r="K28" s="54"/>
      <c r="L28" s="54"/>
    </row>
    <row r="29" spans="2:12" ht="19" x14ac:dyDescent="0.25">
      <c r="B29" s="130"/>
      <c r="C29" s="28"/>
      <c r="D29" s="194" t="s">
        <v>191</v>
      </c>
      <c r="E29" s="54"/>
      <c r="H29" s="205" t="s">
        <v>193</v>
      </c>
      <c r="K29" s="54"/>
      <c r="L29" s="54"/>
    </row>
    <row r="30" spans="2:12" ht="19" x14ac:dyDescent="0.25">
      <c r="B30" s="130"/>
      <c r="C30" s="129">
        <v>1</v>
      </c>
      <c r="D30" s="131" t="s">
        <v>130</v>
      </c>
      <c r="E30" s="54"/>
      <c r="G30" s="129">
        <v>1</v>
      </c>
      <c r="H30" s="131" t="s">
        <v>207</v>
      </c>
      <c r="K30" s="54"/>
      <c r="L30" s="54"/>
    </row>
    <row r="31" spans="2:12" ht="19" x14ac:dyDescent="0.25">
      <c r="C31" s="132">
        <v>2</v>
      </c>
      <c r="D31" s="133" t="s">
        <v>124</v>
      </c>
      <c r="G31" s="132">
        <v>2</v>
      </c>
      <c r="H31" s="133" t="s">
        <v>137</v>
      </c>
      <c r="K31" s="54"/>
      <c r="L31" s="54"/>
    </row>
    <row r="32" spans="2:12" ht="19" x14ac:dyDescent="0.25">
      <c r="C32" s="132">
        <v>3</v>
      </c>
      <c r="D32" s="192" t="s">
        <v>127</v>
      </c>
      <c r="E32" s="68"/>
      <c r="G32" s="132">
        <v>3</v>
      </c>
      <c r="H32" s="192" t="s">
        <v>140</v>
      </c>
      <c r="K32" s="54"/>
      <c r="L32" s="54"/>
    </row>
    <row r="33" spans="2:12" ht="19" x14ac:dyDescent="0.25">
      <c r="B33" s="130"/>
      <c r="C33" s="129">
        <v>4</v>
      </c>
      <c r="D33" s="65" t="s">
        <v>202</v>
      </c>
      <c r="E33" s="28"/>
      <c r="F33" s="54"/>
      <c r="G33" s="129">
        <v>4</v>
      </c>
      <c r="H33" s="192" t="s">
        <v>149</v>
      </c>
      <c r="K33" s="54"/>
      <c r="L33" s="54"/>
    </row>
    <row r="34" spans="2:12" ht="19" x14ac:dyDescent="0.25">
      <c r="B34" s="130"/>
      <c r="D34" s="196"/>
      <c r="E34" s="28"/>
      <c r="F34" s="54"/>
      <c r="G34" s="68"/>
      <c r="H34" s="56"/>
      <c r="K34" s="54"/>
      <c r="L34" s="54"/>
    </row>
    <row r="35" spans="2:12" ht="19" x14ac:dyDescent="0.25">
      <c r="B35" s="130"/>
      <c r="D35" s="196"/>
      <c r="E35" s="28"/>
      <c r="F35" s="54"/>
      <c r="G35" s="126"/>
      <c r="H35" s="56"/>
      <c r="K35" s="54"/>
      <c r="L35" s="54"/>
    </row>
    <row r="36" spans="2:12" ht="19" x14ac:dyDescent="0.25">
      <c r="B36" s="130"/>
      <c r="K36" s="54"/>
      <c r="L36" s="54"/>
    </row>
    <row r="37" spans="2:12" x14ac:dyDescent="0.2">
      <c r="B37" s="130"/>
    </row>
    <row r="38" spans="2:12" x14ac:dyDescent="0.2">
      <c r="B38" s="130"/>
    </row>
    <row r="42" spans="2:12" ht="19" x14ac:dyDescent="0.25">
      <c r="G42" s="126"/>
      <c r="H42" s="56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5:N53"/>
  <sheetViews>
    <sheetView topLeftCell="A19" zoomScale="50" zoomScaleNormal="50" workbookViewId="0">
      <selection activeCell="P34" sqref="P34"/>
    </sheetView>
  </sheetViews>
  <sheetFormatPr baseColWidth="10" defaultColWidth="10.6640625" defaultRowHeight="16" x14ac:dyDescent="0.2"/>
  <cols>
    <col min="1" max="1" width="10.6640625" customWidth="1"/>
    <col min="2" max="2" width="10.6640625" style="14" customWidth="1"/>
    <col min="3" max="4" width="10.6640625" customWidth="1"/>
    <col min="5" max="5" width="11.33203125" bestFit="1" customWidth="1"/>
    <col min="6" max="8" width="10.6640625" customWidth="1"/>
    <col min="9" max="9" width="10.6640625" style="14" customWidth="1"/>
    <col min="10" max="11" width="10.6640625" customWidth="1"/>
    <col min="12" max="12" width="12" bestFit="1" customWidth="1"/>
  </cols>
  <sheetData>
    <row r="15" spans="5:9" ht="18.75" x14ac:dyDescent="0.3">
      <c r="E15" s="5"/>
      <c r="F15" s="5"/>
      <c r="G15" s="22"/>
      <c r="H15" s="5"/>
      <c r="I15" s="51"/>
    </row>
    <row r="16" spans="5:9" ht="18.75" x14ac:dyDescent="0.3">
      <c r="E16" s="5"/>
      <c r="F16" s="5"/>
      <c r="G16" s="22" t="s">
        <v>85</v>
      </c>
      <c r="H16" s="5"/>
      <c r="I16" s="51"/>
    </row>
    <row r="17" spans="2:14" ht="18.75" x14ac:dyDescent="0.3">
      <c r="E17" s="5"/>
      <c r="F17" s="5"/>
      <c r="G17" s="22" t="s">
        <v>29</v>
      </c>
      <c r="H17" s="5"/>
      <c r="I17" s="51"/>
    </row>
    <row r="18" spans="2:14" ht="18.75" x14ac:dyDescent="0.3">
      <c r="E18" s="5"/>
      <c r="F18" s="5"/>
      <c r="G18" s="6"/>
      <c r="H18" s="5"/>
      <c r="I18" s="51"/>
    </row>
    <row r="19" spans="2:14" ht="18.75" x14ac:dyDescent="0.3">
      <c r="E19" s="5"/>
      <c r="F19" s="5"/>
      <c r="G19" s="7" t="s">
        <v>30</v>
      </c>
      <c r="H19" s="5"/>
      <c r="I19" s="51"/>
    </row>
    <row r="20" spans="2:14" ht="18.75" x14ac:dyDescent="0.3">
      <c r="E20" s="5"/>
      <c r="F20" s="5"/>
      <c r="G20" s="7" t="s">
        <v>31</v>
      </c>
      <c r="H20" s="5"/>
      <c r="I20" s="51"/>
    </row>
    <row r="21" spans="2:14" ht="18.75" x14ac:dyDescent="0.3">
      <c r="E21" s="5"/>
      <c r="F21" s="5"/>
      <c r="G21" s="7"/>
      <c r="H21" s="5"/>
      <c r="I21" s="51"/>
    </row>
    <row r="22" spans="2:14" ht="18.75" x14ac:dyDescent="0.3">
      <c r="E22" s="1"/>
      <c r="F22" s="5"/>
      <c r="G22" s="7" t="s">
        <v>32</v>
      </c>
      <c r="H22" s="5"/>
      <c r="I22" s="51"/>
    </row>
    <row r="23" spans="2:14" ht="18.75" x14ac:dyDescent="0.3">
      <c r="E23" s="1"/>
      <c r="F23" s="5"/>
      <c r="G23" s="7" t="s">
        <v>84</v>
      </c>
      <c r="H23" s="5"/>
      <c r="I23" s="51"/>
    </row>
    <row r="24" spans="2:14" ht="18.75" x14ac:dyDescent="0.3">
      <c r="E24" s="5"/>
      <c r="F24" s="5"/>
      <c r="G24" s="7"/>
      <c r="H24" s="5"/>
      <c r="I24" s="51"/>
    </row>
    <row r="25" spans="2:14" ht="18.75" x14ac:dyDescent="0.3">
      <c r="E25" s="5"/>
      <c r="F25" s="5"/>
      <c r="G25" s="8" t="s">
        <v>82</v>
      </c>
      <c r="H25" s="5"/>
      <c r="I25" s="51"/>
    </row>
    <row r="26" spans="2:14" ht="18.75" x14ac:dyDescent="0.3">
      <c r="E26" s="5"/>
      <c r="F26" s="5"/>
      <c r="G26" s="8" t="s">
        <v>34</v>
      </c>
      <c r="H26" s="5"/>
      <c r="I26" s="51"/>
    </row>
    <row r="28" spans="2:14" ht="18.75" x14ac:dyDescent="0.3">
      <c r="B28" s="9" t="s">
        <v>87</v>
      </c>
      <c r="C28" s="2"/>
      <c r="I28" s="9" t="s">
        <v>86</v>
      </c>
      <c r="M28" s="2"/>
      <c r="N28" s="2"/>
    </row>
    <row r="29" spans="2:14" ht="18.75" x14ac:dyDescent="0.3">
      <c r="B29" s="3" t="s">
        <v>0</v>
      </c>
      <c r="C29" s="2"/>
      <c r="D29" s="2"/>
      <c r="E29" s="2"/>
      <c r="F29" s="2"/>
      <c r="G29" s="2"/>
      <c r="I29" s="3" t="s">
        <v>0</v>
      </c>
      <c r="J29" s="2"/>
      <c r="K29" s="2"/>
      <c r="L29" s="2"/>
      <c r="M29" s="2"/>
      <c r="N29" s="2"/>
    </row>
    <row r="30" spans="2:14" ht="18.75" x14ac:dyDescent="0.3">
      <c r="B30" s="160">
        <v>1</v>
      </c>
      <c r="C30" s="158" t="s">
        <v>1</v>
      </c>
      <c r="D30" s="158" t="s">
        <v>19</v>
      </c>
      <c r="E30" s="159" t="s">
        <v>22</v>
      </c>
      <c r="F30" s="159" t="s">
        <v>4</v>
      </c>
      <c r="G30" s="4" t="s">
        <v>5</v>
      </c>
      <c r="I30" s="160">
        <v>1</v>
      </c>
      <c r="J30" s="158" t="s">
        <v>1</v>
      </c>
      <c r="K30" s="158" t="s">
        <v>19</v>
      </c>
      <c r="L30" s="166" t="s">
        <v>27</v>
      </c>
      <c r="M30" s="167" t="s">
        <v>4</v>
      </c>
      <c r="N30" s="10" t="s">
        <v>5</v>
      </c>
    </row>
    <row r="31" spans="2:14" ht="18.75" x14ac:dyDescent="0.3">
      <c r="B31" s="136">
        <v>2</v>
      </c>
      <c r="C31" s="158" t="s">
        <v>1</v>
      </c>
      <c r="D31" s="158" t="s">
        <v>19</v>
      </c>
      <c r="E31" s="159" t="s">
        <v>22</v>
      </c>
      <c r="F31" s="159" t="s">
        <v>8</v>
      </c>
      <c r="G31" s="11"/>
      <c r="I31" s="160">
        <v>2</v>
      </c>
      <c r="J31" s="158" t="s">
        <v>1</v>
      </c>
      <c r="K31" s="158" t="s">
        <v>19</v>
      </c>
      <c r="L31" s="166" t="s">
        <v>27</v>
      </c>
      <c r="M31" s="167" t="s">
        <v>8</v>
      </c>
      <c r="N31" s="10"/>
    </row>
    <row r="32" spans="2:14" ht="18.75" x14ac:dyDescent="0.3">
      <c r="B32" s="136">
        <v>3</v>
      </c>
      <c r="C32" s="158" t="s">
        <v>1</v>
      </c>
      <c r="D32" s="158" t="s">
        <v>19</v>
      </c>
      <c r="E32" s="159" t="s">
        <v>22</v>
      </c>
      <c r="F32" s="159" t="s">
        <v>9</v>
      </c>
      <c r="G32" s="11"/>
      <c r="I32" s="160">
        <v>3</v>
      </c>
      <c r="J32" s="158" t="s">
        <v>1</v>
      </c>
      <c r="K32" s="158" t="s">
        <v>19</v>
      </c>
      <c r="L32" s="166" t="s">
        <v>27</v>
      </c>
      <c r="M32" s="167" t="s">
        <v>9</v>
      </c>
      <c r="N32" s="10"/>
    </row>
    <row r="33" spans="2:14" ht="18.75" x14ac:dyDescent="0.3">
      <c r="B33" s="160">
        <v>4</v>
      </c>
      <c r="C33" s="149" t="s">
        <v>1</v>
      </c>
      <c r="D33" s="161" t="s">
        <v>6</v>
      </c>
      <c r="E33" s="161" t="s">
        <v>22</v>
      </c>
      <c r="F33" s="151" t="s">
        <v>4</v>
      </c>
      <c r="G33" s="4"/>
      <c r="I33" s="160">
        <v>4</v>
      </c>
      <c r="J33" s="158" t="s">
        <v>1</v>
      </c>
      <c r="K33" s="158" t="s">
        <v>19</v>
      </c>
      <c r="L33" s="166" t="s">
        <v>27</v>
      </c>
      <c r="M33" s="167" t="s">
        <v>14</v>
      </c>
      <c r="N33" s="10"/>
    </row>
    <row r="34" spans="2:14" ht="18.75" x14ac:dyDescent="0.3">
      <c r="B34" s="136">
        <v>5</v>
      </c>
      <c r="C34" s="149" t="s">
        <v>1</v>
      </c>
      <c r="D34" s="161" t="s">
        <v>6</v>
      </c>
      <c r="E34" s="161" t="s">
        <v>22</v>
      </c>
      <c r="F34" s="151" t="s">
        <v>8</v>
      </c>
      <c r="I34" s="160">
        <v>5</v>
      </c>
      <c r="J34" s="149" t="s">
        <v>1</v>
      </c>
      <c r="K34" s="161" t="s">
        <v>6</v>
      </c>
      <c r="L34" s="161" t="s">
        <v>26</v>
      </c>
      <c r="M34" s="151" t="s">
        <v>4</v>
      </c>
      <c r="N34" s="10"/>
    </row>
    <row r="35" spans="2:14" ht="18.75" x14ac:dyDescent="0.3">
      <c r="B35" s="136">
        <v>6</v>
      </c>
      <c r="C35" s="140" t="s">
        <v>1</v>
      </c>
      <c r="D35" s="140" t="s">
        <v>24</v>
      </c>
      <c r="E35" s="162" t="s">
        <v>22</v>
      </c>
      <c r="F35" s="162" t="s">
        <v>4</v>
      </c>
      <c r="G35" s="11"/>
      <c r="I35" s="160">
        <v>6</v>
      </c>
      <c r="J35" s="149" t="s">
        <v>1</v>
      </c>
      <c r="K35" s="161" t="s">
        <v>6</v>
      </c>
      <c r="L35" s="161" t="s">
        <v>26</v>
      </c>
      <c r="M35" s="151" t="s">
        <v>8</v>
      </c>
      <c r="N35" s="10"/>
    </row>
    <row r="36" spans="2:14" ht="18.75" x14ac:dyDescent="0.3">
      <c r="B36" s="160">
        <v>7</v>
      </c>
      <c r="C36" s="140" t="s">
        <v>1</v>
      </c>
      <c r="D36" s="140" t="s">
        <v>24</v>
      </c>
      <c r="E36" s="162" t="s">
        <v>22</v>
      </c>
      <c r="F36" s="162" t="s">
        <v>8</v>
      </c>
      <c r="G36" s="4"/>
      <c r="I36" s="160">
        <v>7</v>
      </c>
      <c r="J36" s="152" t="s">
        <v>1</v>
      </c>
      <c r="K36" s="163" t="s">
        <v>21</v>
      </c>
      <c r="L36" s="164" t="s">
        <v>26</v>
      </c>
      <c r="M36" s="155" t="s">
        <v>4</v>
      </c>
      <c r="N36" s="10"/>
    </row>
    <row r="37" spans="2:14" ht="18.75" x14ac:dyDescent="0.3">
      <c r="B37" s="136">
        <v>8</v>
      </c>
      <c r="C37" s="140" t="s">
        <v>1</v>
      </c>
      <c r="D37" s="140" t="s">
        <v>24</v>
      </c>
      <c r="E37" s="162" t="s">
        <v>22</v>
      </c>
      <c r="F37" s="162" t="s">
        <v>9</v>
      </c>
      <c r="G37" s="11"/>
      <c r="I37" s="160">
        <v>8</v>
      </c>
      <c r="J37" s="152" t="s">
        <v>1</v>
      </c>
      <c r="K37" s="163" t="s">
        <v>21</v>
      </c>
      <c r="L37" s="164" t="s">
        <v>26</v>
      </c>
      <c r="M37" s="155" t="s">
        <v>8</v>
      </c>
      <c r="N37" s="10"/>
    </row>
    <row r="38" spans="2:14" ht="18.75" x14ac:dyDescent="0.3">
      <c r="B38" s="136">
        <v>9</v>
      </c>
      <c r="C38" s="152" t="s">
        <v>1</v>
      </c>
      <c r="D38" s="163" t="s">
        <v>21</v>
      </c>
      <c r="E38" s="164" t="s">
        <v>22</v>
      </c>
      <c r="F38" s="155" t="s">
        <v>8</v>
      </c>
      <c r="I38" s="160">
        <v>9</v>
      </c>
      <c r="J38" s="140" t="s">
        <v>1</v>
      </c>
      <c r="K38" s="140" t="s">
        <v>24</v>
      </c>
      <c r="L38" s="165" t="s">
        <v>26</v>
      </c>
      <c r="M38" s="141" t="s">
        <v>4</v>
      </c>
      <c r="N38" s="10"/>
    </row>
    <row r="39" spans="2:14" ht="18.75" x14ac:dyDescent="0.3">
      <c r="B39" s="160">
        <v>10</v>
      </c>
      <c r="C39" s="152" t="s">
        <v>1</v>
      </c>
      <c r="D39" s="163" t="s">
        <v>21</v>
      </c>
      <c r="E39" s="164" t="s">
        <v>22</v>
      </c>
      <c r="F39" s="155" t="s">
        <v>9</v>
      </c>
      <c r="G39" s="4"/>
      <c r="I39" s="160">
        <v>10</v>
      </c>
      <c r="J39" s="140" t="s">
        <v>1</v>
      </c>
      <c r="K39" s="140" t="s">
        <v>35</v>
      </c>
      <c r="L39" s="165" t="s">
        <v>26</v>
      </c>
      <c r="M39" s="141" t="s">
        <v>8</v>
      </c>
      <c r="N39" s="10"/>
    </row>
    <row r="40" spans="2:14" ht="18.75" x14ac:dyDescent="0.3">
      <c r="B40" s="136">
        <v>11</v>
      </c>
      <c r="C40" s="140" t="s">
        <v>1</v>
      </c>
      <c r="D40" s="140" t="s">
        <v>24</v>
      </c>
      <c r="E40" s="162" t="s">
        <v>23</v>
      </c>
      <c r="F40" s="162" t="s">
        <v>4</v>
      </c>
      <c r="G40" s="11"/>
      <c r="I40" s="160">
        <v>11</v>
      </c>
      <c r="J40" s="158" t="s">
        <v>1</v>
      </c>
      <c r="K40" s="158" t="s">
        <v>19</v>
      </c>
      <c r="L40" s="166" t="s">
        <v>26</v>
      </c>
      <c r="M40" s="167" t="s">
        <v>4</v>
      </c>
      <c r="N40" s="10"/>
    </row>
    <row r="41" spans="2:14" ht="18.75" x14ac:dyDescent="0.3">
      <c r="B41" s="136">
        <v>12</v>
      </c>
      <c r="C41" s="140" t="s">
        <v>1</v>
      </c>
      <c r="D41" s="140" t="s">
        <v>35</v>
      </c>
      <c r="E41" s="162" t="s">
        <v>23</v>
      </c>
      <c r="F41" s="162" t="s">
        <v>8</v>
      </c>
      <c r="G41" s="10"/>
      <c r="I41" s="160">
        <v>12</v>
      </c>
      <c r="J41" s="158" t="s">
        <v>1</v>
      </c>
      <c r="K41" s="158" t="s">
        <v>19</v>
      </c>
      <c r="L41" s="166" t="s">
        <v>26</v>
      </c>
      <c r="M41" s="167" t="s">
        <v>8</v>
      </c>
      <c r="N41" s="10"/>
    </row>
    <row r="42" spans="2:14" ht="18.75" x14ac:dyDescent="0.3">
      <c r="B42" s="160">
        <v>13</v>
      </c>
      <c r="C42" s="158" t="s">
        <v>1</v>
      </c>
      <c r="D42" s="158" t="s">
        <v>19</v>
      </c>
      <c r="E42" s="159" t="s">
        <v>23</v>
      </c>
      <c r="F42" s="159" t="s">
        <v>4</v>
      </c>
      <c r="G42" s="12"/>
      <c r="I42" s="160">
        <v>13</v>
      </c>
      <c r="J42" s="149" t="s">
        <v>1</v>
      </c>
      <c r="K42" s="161" t="s">
        <v>6</v>
      </c>
      <c r="L42" s="161" t="s">
        <v>17</v>
      </c>
      <c r="M42" s="151" t="s">
        <v>4</v>
      </c>
      <c r="N42" s="10"/>
    </row>
    <row r="43" spans="2:14" ht="18.75" x14ac:dyDescent="0.3">
      <c r="B43" s="136">
        <v>14</v>
      </c>
      <c r="C43" s="158" t="s">
        <v>1</v>
      </c>
      <c r="D43" s="158" t="s">
        <v>19</v>
      </c>
      <c r="E43" s="159" t="s">
        <v>23</v>
      </c>
      <c r="F43" s="159" t="s">
        <v>8</v>
      </c>
      <c r="G43" s="11"/>
      <c r="I43" s="160">
        <v>14</v>
      </c>
      <c r="J43" s="152" t="s">
        <v>1</v>
      </c>
      <c r="K43" s="163" t="s">
        <v>21</v>
      </c>
      <c r="L43" s="164" t="s">
        <v>17</v>
      </c>
      <c r="M43" s="155" t="s">
        <v>4</v>
      </c>
      <c r="N43" s="10"/>
    </row>
    <row r="44" spans="2:14" ht="18.75" x14ac:dyDescent="0.3">
      <c r="B44" s="136">
        <v>15</v>
      </c>
      <c r="C44" s="149" t="s">
        <v>1</v>
      </c>
      <c r="D44" s="161" t="s">
        <v>6</v>
      </c>
      <c r="E44" s="161" t="s">
        <v>27</v>
      </c>
      <c r="F44" s="151" t="s">
        <v>4</v>
      </c>
      <c r="G44" s="10"/>
      <c r="I44" s="160">
        <v>15</v>
      </c>
      <c r="J44" s="140" t="s">
        <v>1</v>
      </c>
      <c r="K44" s="140" t="s">
        <v>24</v>
      </c>
      <c r="L44" s="165" t="s">
        <v>17</v>
      </c>
      <c r="M44" s="141" t="s">
        <v>4</v>
      </c>
      <c r="N44" s="10"/>
    </row>
    <row r="45" spans="2:14" ht="18.75" x14ac:dyDescent="0.3">
      <c r="B45" s="160">
        <v>16</v>
      </c>
      <c r="C45" s="149" t="s">
        <v>1</v>
      </c>
      <c r="D45" s="161" t="s">
        <v>6</v>
      </c>
      <c r="E45" s="161" t="s">
        <v>27</v>
      </c>
      <c r="F45" s="151" t="s">
        <v>8</v>
      </c>
      <c r="G45" s="4"/>
      <c r="I45" s="160">
        <v>16</v>
      </c>
      <c r="J45" s="158" t="s">
        <v>1</v>
      </c>
      <c r="K45" s="158" t="s">
        <v>19</v>
      </c>
      <c r="L45" s="166" t="s">
        <v>17</v>
      </c>
      <c r="M45" s="167" t="s">
        <v>4</v>
      </c>
      <c r="N45" s="10"/>
    </row>
    <row r="46" spans="2:14" ht="18.75" x14ac:dyDescent="0.3">
      <c r="B46" s="136">
        <v>17</v>
      </c>
      <c r="C46" s="149" t="s">
        <v>1</v>
      </c>
      <c r="D46" s="161" t="s">
        <v>6</v>
      </c>
      <c r="E46" s="161" t="s">
        <v>27</v>
      </c>
      <c r="F46" s="151" t="s">
        <v>9</v>
      </c>
      <c r="G46" s="11"/>
      <c r="I46" s="160"/>
      <c r="N46" s="10"/>
    </row>
    <row r="47" spans="2:14" ht="18.75" x14ac:dyDescent="0.3">
      <c r="B47" s="136">
        <v>18</v>
      </c>
      <c r="C47" s="149" t="s">
        <v>1</v>
      </c>
      <c r="D47" s="161" t="s">
        <v>6</v>
      </c>
      <c r="E47" s="161" t="s">
        <v>27</v>
      </c>
      <c r="F47" s="151" t="s">
        <v>14</v>
      </c>
      <c r="G47" s="12"/>
      <c r="I47" s="160"/>
      <c r="N47" s="10"/>
    </row>
    <row r="48" spans="2:14" ht="18.75" x14ac:dyDescent="0.3">
      <c r="B48" s="160">
        <v>19</v>
      </c>
      <c r="C48" s="140" t="s">
        <v>1</v>
      </c>
      <c r="D48" s="140" t="s">
        <v>24</v>
      </c>
      <c r="E48" s="165" t="s">
        <v>27</v>
      </c>
      <c r="F48" s="141" t="s">
        <v>4</v>
      </c>
      <c r="G48" s="4"/>
      <c r="I48" s="160"/>
      <c r="N48" s="10"/>
    </row>
    <row r="49" spans="2:14" ht="18.75" x14ac:dyDescent="0.3">
      <c r="B49" s="136">
        <v>20</v>
      </c>
      <c r="C49" s="140" t="s">
        <v>1</v>
      </c>
      <c r="D49" s="140" t="s">
        <v>35</v>
      </c>
      <c r="E49" s="165" t="s">
        <v>27</v>
      </c>
      <c r="F49" s="141" t="s">
        <v>8</v>
      </c>
      <c r="G49" s="11"/>
      <c r="I49" s="160"/>
      <c r="N49" s="11"/>
    </row>
    <row r="50" spans="2:14" ht="18.75" x14ac:dyDescent="0.3">
      <c r="B50" s="136">
        <v>21</v>
      </c>
      <c r="C50" s="140" t="s">
        <v>1</v>
      </c>
      <c r="D50" s="140" t="s">
        <v>24</v>
      </c>
      <c r="E50" s="165" t="s">
        <v>27</v>
      </c>
      <c r="F50" s="141" t="s">
        <v>9</v>
      </c>
    </row>
    <row r="51" spans="2:14" ht="18.75" x14ac:dyDescent="0.3">
      <c r="B51" s="160">
        <v>22</v>
      </c>
      <c r="C51" s="140" t="s">
        <v>1</v>
      </c>
      <c r="D51" s="140" t="s">
        <v>35</v>
      </c>
      <c r="E51" s="165" t="s">
        <v>27</v>
      </c>
      <c r="F51" s="141" t="s">
        <v>14</v>
      </c>
      <c r="I51" s="33" t="s">
        <v>65</v>
      </c>
    </row>
    <row r="53" spans="2:14" ht="18.75" x14ac:dyDescent="0.3">
      <c r="B53" s="136"/>
      <c r="I53" s="52" t="s">
        <v>83</v>
      </c>
    </row>
  </sheetData>
  <phoneticPr fontId="7" type="noConversion"/>
  <pageMargins left="0.75000000000000011" right="0.75000000000000011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36"/>
  <sheetViews>
    <sheetView topLeftCell="P4" zoomScale="80" zoomScaleNormal="80" workbookViewId="0">
      <selection activeCell="Z17" sqref="Z17"/>
    </sheetView>
  </sheetViews>
  <sheetFormatPr baseColWidth="10" defaultColWidth="15.1640625" defaultRowHeight="16" x14ac:dyDescent="0.2"/>
  <cols>
    <col min="1" max="1" width="11.6640625" style="78" customWidth="1"/>
    <col min="2" max="2" width="3.6640625" style="78" hidden="1" customWidth="1"/>
    <col min="3" max="3" width="21.1640625" style="78" customWidth="1"/>
    <col min="4" max="4" width="14.6640625" style="208" customWidth="1"/>
    <col min="5" max="5" width="4.83203125" style="78" customWidth="1"/>
    <col min="6" max="6" width="4.83203125" style="90" customWidth="1"/>
    <col min="7" max="7" width="15.1640625" style="78"/>
    <col min="8" max="8" width="22.6640625" style="78" customWidth="1"/>
    <col min="9" max="9" width="15.5" style="78" customWidth="1"/>
    <col min="10" max="10" width="6" style="78" customWidth="1"/>
    <col min="11" max="11" width="9.33203125" style="78" customWidth="1"/>
    <col min="12" max="12" width="15.1640625" style="78"/>
    <col min="13" max="13" width="22.1640625" style="78" customWidth="1"/>
    <col min="14" max="14" width="12.6640625" style="78" customWidth="1"/>
    <col min="15" max="15" width="6.5" style="78" customWidth="1"/>
    <col min="16" max="16" width="11.6640625" style="78" customWidth="1"/>
    <col min="17" max="17" width="15.1640625" style="78"/>
    <col min="18" max="18" width="23.1640625" style="78" customWidth="1"/>
    <col min="19" max="19" width="14.6640625" style="78" customWidth="1"/>
    <col min="20" max="20" width="6.5" style="78" customWidth="1"/>
    <col min="21" max="21" width="11" style="78" customWidth="1"/>
    <col min="22" max="22" width="15.1640625" style="78"/>
    <col min="23" max="23" width="23.5" style="78" customWidth="1"/>
    <col min="24" max="24" width="14.6640625" style="78" customWidth="1"/>
    <col min="25" max="25" width="7.1640625" style="78" customWidth="1"/>
    <col min="26" max="26" width="15.1640625" style="78"/>
    <col min="27" max="27" width="23.5" style="78" customWidth="1"/>
    <col min="28" max="28" width="4.6640625" style="78" customWidth="1"/>
    <col min="29" max="16384" width="15.1640625" style="78"/>
  </cols>
  <sheetData>
    <row r="1" spans="1:34" ht="21" x14ac:dyDescent="0.35">
      <c r="A1" s="77" t="s">
        <v>39</v>
      </c>
      <c r="B1" s="77"/>
    </row>
    <row r="3" spans="1:34" s="81" customFormat="1" ht="18.75" x14ac:dyDescent="0.3">
      <c r="A3"/>
      <c r="B3"/>
      <c r="C3"/>
      <c r="D3" s="180"/>
      <c r="E3"/>
      <c r="F3" s="2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 s="80"/>
      <c r="AC3" s="78"/>
      <c r="AD3" s="78"/>
      <c r="AE3" s="78"/>
      <c r="AF3" s="78"/>
      <c r="AG3" s="78"/>
    </row>
    <row r="4" spans="1:34" s="81" customFormat="1" x14ac:dyDescent="0.2">
      <c r="A4"/>
      <c r="B4"/>
      <c r="C4"/>
      <c r="D4" s="180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81" customFormat="1" ht="19" x14ac:dyDescent="0.25">
      <c r="A5" s="79" t="s">
        <v>45</v>
      </c>
      <c r="B5" s="80"/>
      <c r="C5" s="80"/>
      <c r="D5" s="117" t="s">
        <v>80</v>
      </c>
      <c r="E5" s="117" t="s">
        <v>81</v>
      </c>
      <c r="F5" s="79"/>
      <c r="G5" s="80"/>
      <c r="H5" s="80"/>
      <c r="I5" s="80"/>
      <c r="J5" s="80"/>
      <c r="K5" s="80"/>
      <c r="L5" s="79" t="s">
        <v>27</v>
      </c>
      <c r="M5" s="80"/>
      <c r="N5" s="79" t="s">
        <v>90</v>
      </c>
      <c r="O5" s="118" t="s">
        <v>91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/>
      <c r="AA5"/>
      <c r="AB5"/>
      <c r="AC5"/>
      <c r="AD5"/>
      <c r="AE5"/>
      <c r="AF5"/>
      <c r="AG5"/>
      <c r="AH5"/>
    </row>
    <row r="6" spans="1:34" s="81" customFormat="1" ht="19" x14ac:dyDescent="0.25">
      <c r="A6" s="79" t="s">
        <v>67</v>
      </c>
      <c r="B6" s="79"/>
      <c r="C6" s="79"/>
      <c r="D6" s="96"/>
      <c r="E6" s="79">
        <v>1</v>
      </c>
      <c r="F6" s="79"/>
      <c r="G6" s="80"/>
      <c r="H6" s="80"/>
      <c r="I6" s="80"/>
      <c r="J6" s="80"/>
      <c r="K6" s="80"/>
      <c r="L6" s="79" t="s">
        <v>92</v>
      </c>
      <c r="M6" s="79" t="s">
        <v>75</v>
      </c>
      <c r="N6" s="79"/>
      <c r="O6" s="79">
        <v>7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/>
      <c r="AA6"/>
      <c r="AB6"/>
      <c r="AC6"/>
      <c r="AD6"/>
      <c r="AE6"/>
      <c r="AF6"/>
      <c r="AG6"/>
      <c r="AH6"/>
    </row>
    <row r="7" spans="1:34" ht="19" x14ac:dyDescent="0.25">
      <c r="A7" s="82" t="s">
        <v>46</v>
      </c>
      <c r="B7" s="35">
        <v>1</v>
      </c>
      <c r="C7" s="83" t="s">
        <v>96</v>
      </c>
      <c r="D7" s="88">
        <v>17.170000000000002</v>
      </c>
      <c r="E7" s="18">
        <v>1</v>
      </c>
      <c r="F7" s="91"/>
      <c r="G7" s="80"/>
      <c r="H7" s="80"/>
      <c r="I7" s="80"/>
      <c r="J7" s="80"/>
      <c r="K7" s="91"/>
      <c r="L7" s="82" t="s">
        <v>46</v>
      </c>
      <c r="M7" s="43" t="str">
        <f>IF(E7=1,C7,(IF(E8=1,C8,(IF(E9=1,C9,(IF(E10=1,C10,1.1)))))))</f>
        <v>Mitchell Dawkings</v>
      </c>
      <c r="N7" s="20">
        <v>15.34</v>
      </c>
      <c r="O7" s="21">
        <v>2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/>
      <c r="AA7"/>
      <c r="AB7"/>
      <c r="AC7"/>
      <c r="AD7"/>
      <c r="AE7"/>
      <c r="AF7"/>
      <c r="AG7"/>
      <c r="AH7"/>
    </row>
    <row r="8" spans="1:34" ht="19" x14ac:dyDescent="0.25">
      <c r="A8" s="84" t="s">
        <v>36</v>
      </c>
      <c r="B8" s="40">
        <v>8</v>
      </c>
      <c r="C8" s="83" t="s">
        <v>97</v>
      </c>
      <c r="D8" s="69">
        <v>10.1</v>
      </c>
      <c r="E8" s="41">
        <v>2</v>
      </c>
      <c r="F8" s="91"/>
      <c r="G8" s="80"/>
      <c r="H8" s="80"/>
      <c r="I8" s="80"/>
      <c r="J8" s="80"/>
      <c r="K8" s="91"/>
      <c r="L8" s="84" t="s">
        <v>36</v>
      </c>
      <c r="M8" s="44" t="str">
        <f>IF(E13=2,C13,(IF(E14=2,C14,(IF(E15=2,C16,(IF(E16=2,C15,2.2)))))))</f>
        <v>Randall Sharpe</v>
      </c>
      <c r="N8" s="20">
        <v>13.87</v>
      </c>
      <c r="O8" s="35">
        <v>3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/>
      <c r="AA8"/>
      <c r="AB8"/>
      <c r="AC8"/>
      <c r="AD8"/>
      <c r="AE8"/>
      <c r="AF8"/>
      <c r="AG8"/>
      <c r="AH8"/>
    </row>
    <row r="9" spans="1:34" ht="19" x14ac:dyDescent="0.25">
      <c r="A9" s="85" t="s">
        <v>47</v>
      </c>
      <c r="B9" s="35">
        <v>9</v>
      </c>
      <c r="C9" s="83" t="s">
        <v>168</v>
      </c>
      <c r="D9" s="88">
        <v>3.8</v>
      </c>
      <c r="E9" s="18">
        <v>4</v>
      </c>
      <c r="F9" s="91"/>
      <c r="G9" s="79" t="s">
        <v>68</v>
      </c>
      <c r="H9" s="80"/>
      <c r="I9" s="117" t="s">
        <v>80</v>
      </c>
      <c r="J9" s="117" t="s">
        <v>81</v>
      </c>
      <c r="K9" s="91"/>
      <c r="L9" s="85" t="s">
        <v>47</v>
      </c>
      <c r="M9" s="44" t="str">
        <f>IF(J11=2,H11,(IF(J12=2,H12,(IF(J13=2,H13,(IF(J14=2,H14,2.5)))))))</f>
        <v>Sandro Neto</v>
      </c>
      <c r="N9" s="20">
        <v>15.5</v>
      </c>
      <c r="O9" s="35">
        <v>1</v>
      </c>
      <c r="P9" s="80"/>
      <c r="Q9" s="79" t="s">
        <v>72</v>
      </c>
      <c r="R9"/>
      <c r="S9" s="117" t="s">
        <v>80</v>
      </c>
      <c r="T9" s="117" t="s">
        <v>81</v>
      </c>
      <c r="U9" s="80"/>
      <c r="V9" s="80"/>
      <c r="W9" s="80"/>
      <c r="X9" s="80"/>
      <c r="Y9" s="80"/>
      <c r="Z9"/>
      <c r="AA9"/>
      <c r="AB9"/>
      <c r="AC9"/>
      <c r="AD9"/>
      <c r="AE9"/>
      <c r="AF9"/>
      <c r="AG9"/>
      <c r="AH9"/>
    </row>
    <row r="10" spans="1:34" ht="19" x14ac:dyDescent="0.25">
      <c r="A10" s="86" t="s">
        <v>48</v>
      </c>
      <c r="B10" s="36">
        <v>16</v>
      </c>
      <c r="C10" s="207" t="s">
        <v>170</v>
      </c>
      <c r="D10" s="89">
        <v>9.83</v>
      </c>
      <c r="E10" s="19">
        <v>3</v>
      </c>
      <c r="F10" s="91"/>
      <c r="G10" s="79" t="s">
        <v>69</v>
      </c>
      <c r="H10" s="79"/>
      <c r="I10" s="79"/>
      <c r="J10" s="79">
        <v>5</v>
      </c>
      <c r="K10" s="46"/>
      <c r="L10" s="80"/>
      <c r="M10" s="80"/>
      <c r="N10" s="80"/>
      <c r="O10" s="80"/>
      <c r="P10" s="79"/>
      <c r="Q10" s="79" t="s">
        <v>69</v>
      </c>
      <c r="R10" s="79"/>
      <c r="S10" s="79"/>
      <c r="T10" s="79">
        <v>11</v>
      </c>
      <c r="U10" s="80"/>
      <c r="V10" s="80"/>
      <c r="W10" s="80"/>
      <c r="X10" s="80"/>
      <c r="Y10" s="80"/>
      <c r="Z10"/>
      <c r="AA10"/>
      <c r="AB10"/>
      <c r="AC10"/>
      <c r="AD10"/>
      <c r="AE10"/>
      <c r="AF10"/>
      <c r="AG10"/>
      <c r="AH10"/>
    </row>
    <row r="11" spans="1:34" ht="19" x14ac:dyDescent="0.25">
      <c r="A11" s="91"/>
      <c r="B11" s="91"/>
      <c r="C11" s="91"/>
      <c r="D11" s="48"/>
      <c r="E11" s="91"/>
      <c r="F11" s="91"/>
      <c r="G11" s="82" t="s">
        <v>46</v>
      </c>
      <c r="H11" s="20" t="str">
        <f>IF(E7=3,C7,(IF(E8=3,C8,(IF(E9=3,C9,(IF(E10=3,C10,3.1)))))))</f>
        <v>Sandro Neto</v>
      </c>
      <c r="I11" s="88">
        <v>11.46</v>
      </c>
      <c r="J11" s="18">
        <v>2</v>
      </c>
      <c r="K11" s="91"/>
      <c r="L11" s="80"/>
      <c r="M11" s="80"/>
      <c r="N11" s="80"/>
      <c r="O11" s="80"/>
      <c r="P11" s="80"/>
      <c r="Q11" s="82" t="s">
        <v>46</v>
      </c>
      <c r="R11" s="20" t="str">
        <f>IF(O7=1,M7,(IF(O8=1,M8,(IF(O9=1,M9,1.7)))))</f>
        <v>Sandro Neto</v>
      </c>
      <c r="S11" s="88">
        <v>9</v>
      </c>
      <c r="T11" s="18">
        <v>3</v>
      </c>
      <c r="U11" s="80"/>
      <c r="V11" s="80"/>
      <c r="W11" s="80"/>
      <c r="X11" s="80"/>
      <c r="Y11" s="80"/>
      <c r="Z11"/>
      <c r="AA11"/>
      <c r="AB11"/>
      <c r="AC11"/>
      <c r="AD11"/>
      <c r="AE11"/>
      <c r="AF11"/>
      <c r="AG11"/>
      <c r="AH11"/>
    </row>
    <row r="12" spans="1:34" ht="19" x14ac:dyDescent="0.25">
      <c r="A12" s="79" t="s">
        <v>70</v>
      </c>
      <c r="B12" s="79"/>
      <c r="C12" s="79"/>
      <c r="D12" s="96"/>
      <c r="E12" s="79">
        <v>2</v>
      </c>
      <c r="F12" s="80"/>
      <c r="G12" s="84" t="s">
        <v>36</v>
      </c>
      <c r="H12" s="20" t="str">
        <f>IF(E7=4,C7,(IF(E8=4,C8,(IF(E9=4,C9,(IF(E10=4,C10,4.1)))))))</f>
        <v>Brett Weston</v>
      </c>
      <c r="I12" s="69">
        <v>4.0999999999999996</v>
      </c>
      <c r="J12" s="41">
        <v>3</v>
      </c>
      <c r="K12" s="80"/>
      <c r="L12" s="80"/>
      <c r="M12" s="80"/>
      <c r="N12" s="80"/>
      <c r="O12" s="80"/>
      <c r="P12" s="80"/>
      <c r="Q12" s="84" t="s">
        <v>36</v>
      </c>
      <c r="R12" s="42" t="str">
        <f>IF(O7=2,M7,(IF(O8=2,M8,(IF(O9=2,M9,2.7)))))</f>
        <v>Mitchell Dawkings</v>
      </c>
      <c r="S12" s="69">
        <v>12.73</v>
      </c>
      <c r="T12" s="41">
        <v>2</v>
      </c>
      <c r="U12" s="80"/>
      <c r="V12" s="70" t="s">
        <v>17</v>
      </c>
      <c r="W12" s="95"/>
      <c r="X12" s="117" t="s">
        <v>80</v>
      </c>
      <c r="Y12" s="117" t="s">
        <v>81</v>
      </c>
      <c r="Z12"/>
      <c r="AA12"/>
      <c r="AB12"/>
      <c r="AC12"/>
      <c r="AD12"/>
      <c r="AE12"/>
      <c r="AF12"/>
      <c r="AG12"/>
      <c r="AH12"/>
    </row>
    <row r="13" spans="1:34" ht="19" x14ac:dyDescent="0.25">
      <c r="A13" s="82" t="s">
        <v>46</v>
      </c>
      <c r="B13" s="21">
        <v>4</v>
      </c>
      <c r="C13" s="83" t="s">
        <v>98</v>
      </c>
      <c r="D13" s="43">
        <v>13.53</v>
      </c>
      <c r="E13" s="21">
        <v>1</v>
      </c>
      <c r="F13" s="91"/>
      <c r="G13" s="85" t="s">
        <v>47</v>
      </c>
      <c r="H13" s="20" t="str">
        <f>IF(E13=3,C13,(IF(E14=3,C14,(IF(E15=3,C15,(IF(E16=3,C16,3.2)))))))</f>
        <v>Brett Pember</v>
      </c>
      <c r="I13" s="88">
        <v>16.34</v>
      </c>
      <c r="J13" s="18">
        <v>1</v>
      </c>
      <c r="K13" s="91"/>
      <c r="L13" s="79" t="s">
        <v>93</v>
      </c>
      <c r="M13" s="79" t="s">
        <v>75</v>
      </c>
      <c r="N13" s="79"/>
      <c r="O13" s="79">
        <v>8</v>
      </c>
      <c r="P13" s="80"/>
      <c r="Q13" s="85" t="s">
        <v>47</v>
      </c>
      <c r="R13" s="20" t="str">
        <f>IF(O14=1,M14,(IF(O15=1,M15,(IF(O16=1,M16,1.8)))))</f>
        <v>Rob Hazlewood</v>
      </c>
      <c r="S13" s="88">
        <v>8.3000000000000007</v>
      </c>
      <c r="T13" s="18">
        <v>4</v>
      </c>
      <c r="U13" s="80"/>
      <c r="V13" s="70"/>
      <c r="W13" s="70"/>
      <c r="X13" s="70"/>
      <c r="Y13" s="79">
        <v>13</v>
      </c>
      <c r="Z13"/>
      <c r="AA13"/>
      <c r="AB13"/>
      <c r="AC13"/>
      <c r="AD13"/>
      <c r="AE13"/>
      <c r="AF13"/>
      <c r="AG13"/>
      <c r="AH13"/>
    </row>
    <row r="14" spans="1:34" ht="19" x14ac:dyDescent="0.25">
      <c r="A14" s="84" t="s">
        <v>36</v>
      </c>
      <c r="B14" s="35">
        <v>5</v>
      </c>
      <c r="C14" s="83" t="s">
        <v>174</v>
      </c>
      <c r="D14" s="44">
        <v>12.57</v>
      </c>
      <c r="E14" s="35">
        <v>2</v>
      </c>
      <c r="F14" s="91"/>
      <c r="G14" s="86" t="s">
        <v>48</v>
      </c>
      <c r="H14" s="120" t="str">
        <f>IF(E13=4,C13,(IF(E14=4,C14,(IF(E15=4,C15,(IF(E16=4,C16,4.2)))))))</f>
        <v>Dane Henderson</v>
      </c>
      <c r="I14" s="20">
        <v>3.33</v>
      </c>
      <c r="J14" s="35">
        <v>4</v>
      </c>
      <c r="K14" s="91"/>
      <c r="L14" s="82" t="s">
        <v>46</v>
      </c>
      <c r="M14" s="43" t="str">
        <f>IF(E7=2,C7,(IF(E8=2,C8,(IF(E9=2,C9,(IF(E10=2,C10,2.1)))))))</f>
        <v>Rob Hazlewood</v>
      </c>
      <c r="N14" s="20">
        <v>14.73</v>
      </c>
      <c r="O14" s="21">
        <v>1</v>
      </c>
      <c r="P14" s="80"/>
      <c r="Q14" s="86" t="s">
        <v>48</v>
      </c>
      <c r="R14" s="37" t="str">
        <f>IF(O14=2,M14,(IF(O15=2,M15,(IF(O16=2,M16,2.8)))))</f>
        <v>Shane Conwell</v>
      </c>
      <c r="S14" s="89">
        <v>13.3</v>
      </c>
      <c r="T14" s="19">
        <v>1</v>
      </c>
      <c r="U14" s="80"/>
      <c r="V14" s="82" t="s">
        <v>46</v>
      </c>
      <c r="W14" s="20" t="str">
        <f>IF(T11=1,R11,(IF(T12=1,R12,(IF(T13=1,R13,(IF(T14=1,R14,1.11)))))))</f>
        <v>Shane Conwell</v>
      </c>
      <c r="X14" s="74">
        <v>16.66</v>
      </c>
      <c r="Y14" s="73">
        <v>2</v>
      </c>
      <c r="Z14"/>
      <c r="AA14"/>
      <c r="AB14"/>
      <c r="AC14"/>
      <c r="AD14"/>
      <c r="AE14"/>
      <c r="AF14"/>
      <c r="AG14"/>
      <c r="AH14"/>
    </row>
    <row r="15" spans="1:34" ht="19" x14ac:dyDescent="0.25">
      <c r="A15" s="85" t="s">
        <v>47</v>
      </c>
      <c r="B15" s="35">
        <v>12</v>
      </c>
      <c r="C15" s="83" t="s">
        <v>99</v>
      </c>
      <c r="D15" s="44">
        <v>6.17</v>
      </c>
      <c r="E15" s="35">
        <v>4</v>
      </c>
      <c r="F15" s="91"/>
      <c r="G15" s="91"/>
      <c r="H15" s="48"/>
      <c r="I15" s="48"/>
      <c r="J15" s="91"/>
      <c r="K15" s="91"/>
      <c r="L15" s="84" t="s">
        <v>36</v>
      </c>
      <c r="M15" s="44" t="str">
        <f>IF(E13=1,C13,(IF(E14=1,C14,(IF(E15=1,C15,(IF(E16=1,C16,1.2)))))))</f>
        <v>Shane Conwell</v>
      </c>
      <c r="N15" s="20">
        <v>13.7</v>
      </c>
      <c r="O15" s="35">
        <v>2</v>
      </c>
      <c r="P15" s="80"/>
      <c r="Q15" s="91"/>
      <c r="R15" s="48"/>
      <c r="S15" s="48"/>
      <c r="T15" s="91"/>
      <c r="U15" s="80"/>
      <c r="V15" s="84" t="s">
        <v>36</v>
      </c>
      <c r="W15" s="20" t="str">
        <f>IF(T11=2,R11,(IF(T12=2,R12,(IF(T13=2,R13,(IF(T14=2,R14,2.11)))))))</f>
        <v>Mitchell Dawkings</v>
      </c>
      <c r="X15" s="20">
        <v>18.07</v>
      </c>
      <c r="Y15" s="83">
        <v>1</v>
      </c>
      <c r="Z15"/>
      <c r="AA15"/>
      <c r="AB15"/>
      <c r="AC15"/>
      <c r="AD15"/>
      <c r="AE15"/>
      <c r="AF15"/>
      <c r="AG15"/>
      <c r="AH15"/>
    </row>
    <row r="16" spans="1:34" ht="19" x14ac:dyDescent="0.25">
      <c r="A16" s="86" t="s">
        <v>48</v>
      </c>
      <c r="B16" s="36">
        <v>13</v>
      </c>
      <c r="C16" s="83" t="s">
        <v>167</v>
      </c>
      <c r="D16" s="45">
        <v>11.24</v>
      </c>
      <c r="E16" s="36">
        <v>3</v>
      </c>
      <c r="F16" s="91"/>
      <c r="G16" s="91"/>
      <c r="H16" s="48"/>
      <c r="I16" s="48"/>
      <c r="J16" s="91"/>
      <c r="K16" s="80"/>
      <c r="L16" s="85" t="s">
        <v>47</v>
      </c>
      <c r="M16" s="44" t="str">
        <f>IF(J11=1,H11,(IF(J12=1,H12,(IF(J13=1,H13,(IF(J14=1,H14,1.5)))))))</f>
        <v>Brett Pember</v>
      </c>
      <c r="N16" s="20">
        <v>12.07</v>
      </c>
      <c r="O16" s="35">
        <v>3</v>
      </c>
      <c r="P16" s="80"/>
      <c r="Q16" s="79" t="s">
        <v>74</v>
      </c>
      <c r="R16" s="96"/>
      <c r="S16" s="96"/>
      <c r="T16" s="79">
        <v>12</v>
      </c>
      <c r="U16" s="80"/>
      <c r="V16" s="85" t="s">
        <v>47</v>
      </c>
      <c r="W16" s="20" t="str">
        <f>IF(T17=1,R17,(IF(T18=1,R18,(IF(T19=1,R19,(IF(T20=1,R20,1.12)))))))</f>
        <v>Jake Spooner</v>
      </c>
      <c r="X16" s="37">
        <v>10.199999999999999</v>
      </c>
      <c r="Y16" s="76">
        <v>4</v>
      </c>
      <c r="Z16"/>
      <c r="AA16"/>
      <c r="AB16"/>
      <c r="AC16"/>
      <c r="AD16"/>
      <c r="AE16"/>
      <c r="AF16"/>
      <c r="AG16"/>
      <c r="AH16"/>
    </row>
    <row r="17" spans="1:34" ht="19" x14ac:dyDescent="0.25">
      <c r="A17" s="91"/>
      <c r="B17" s="91"/>
      <c r="C17" s="91"/>
      <c r="D17" s="48"/>
      <c r="E17" s="91"/>
      <c r="F17" s="91"/>
      <c r="G17" s="79" t="s">
        <v>74</v>
      </c>
      <c r="H17" s="79"/>
      <c r="I17" s="79"/>
      <c r="J17" s="79">
        <v>6</v>
      </c>
      <c r="K17" s="80"/>
      <c r="L17" s="80"/>
      <c r="M17" s="80"/>
      <c r="N17" s="80"/>
      <c r="O17" s="80"/>
      <c r="P17" s="80"/>
      <c r="Q17" s="82" t="s">
        <v>46</v>
      </c>
      <c r="R17" s="43" t="str">
        <f>IF(O21=1,M21,(IF(O22=1,M22,(IF(O23=1,M23,1.9)))))</f>
        <v>Matt Hoar</v>
      </c>
      <c r="S17" s="20">
        <v>13.94</v>
      </c>
      <c r="T17" s="21">
        <v>4</v>
      </c>
      <c r="U17" s="80"/>
      <c r="V17" s="86" t="s">
        <v>48</v>
      </c>
      <c r="W17" s="20" t="str">
        <f>IF(T17=2,R17,(IF(T18=2,R18,(IF(T19=2,R19,(IF(T20=2,R20,2.12)))))))</f>
        <v>Scott Schindler</v>
      </c>
      <c r="X17" s="37">
        <v>11.5</v>
      </c>
      <c r="Y17" s="76">
        <v>3</v>
      </c>
      <c r="Z17"/>
      <c r="AA17"/>
      <c r="AB17"/>
      <c r="AC17"/>
      <c r="AD17"/>
      <c r="AE17"/>
      <c r="AF17"/>
      <c r="AG17"/>
      <c r="AH17"/>
    </row>
    <row r="18" spans="1:34" ht="19" x14ac:dyDescent="0.25">
      <c r="A18" s="79" t="s">
        <v>73</v>
      </c>
      <c r="B18" s="79"/>
      <c r="C18" s="79"/>
      <c r="D18" s="96"/>
      <c r="E18" s="79">
        <v>3</v>
      </c>
      <c r="F18" s="80"/>
      <c r="G18" s="82" t="s">
        <v>46</v>
      </c>
      <c r="H18" s="20" t="str">
        <f>IF(E19=3,C19,(IF(E20=3,C20,(IF(E21=3,C21,(IF(E22=3,C22,3.3)))))))</f>
        <v>Jake Spooner</v>
      </c>
      <c r="I18" s="20">
        <v>14.1</v>
      </c>
      <c r="J18" s="35">
        <v>1</v>
      </c>
      <c r="K18" s="80"/>
      <c r="L18" s="95"/>
      <c r="M18" s="95"/>
      <c r="N18" s="95"/>
      <c r="O18" s="95"/>
      <c r="P18" s="80"/>
      <c r="Q18" s="84" t="s">
        <v>36</v>
      </c>
      <c r="R18" s="44" t="str">
        <f>IF(O21=2,M21,(IF(O22=2,M22,(IF(O23=2,M23,2.9)))))</f>
        <v>Jake Spooner</v>
      </c>
      <c r="S18" s="20">
        <v>15.46</v>
      </c>
      <c r="T18" s="35">
        <v>1</v>
      </c>
      <c r="U18" s="80"/>
      <c r="V18" s="95"/>
      <c r="W18" s="95"/>
      <c r="X18" s="95"/>
      <c r="Y18" s="95"/>
      <c r="Z18"/>
      <c r="AA18"/>
      <c r="AB18"/>
      <c r="AC18"/>
      <c r="AD18"/>
      <c r="AE18"/>
      <c r="AF18"/>
      <c r="AG18"/>
      <c r="AH18"/>
    </row>
    <row r="19" spans="1:34" ht="19" x14ac:dyDescent="0.25">
      <c r="A19" s="82" t="s">
        <v>46</v>
      </c>
      <c r="B19" s="21">
        <v>3</v>
      </c>
      <c r="C19" s="83" t="s">
        <v>100</v>
      </c>
      <c r="D19" s="43">
        <v>14.66</v>
      </c>
      <c r="E19" s="21">
        <v>2</v>
      </c>
      <c r="F19" s="91"/>
      <c r="G19" s="84" t="s">
        <v>36</v>
      </c>
      <c r="H19" s="31" t="str">
        <f>IF(E19=4,C19,(IF(E20=4,C20,(IF(E21=4,C21,(IF(E22=4,C22,4.3)))))))</f>
        <v>Steven Berlin</v>
      </c>
      <c r="I19" s="20">
        <v>11.23</v>
      </c>
      <c r="J19" s="35">
        <v>3</v>
      </c>
      <c r="K19" s="80"/>
      <c r="L19" s="79"/>
      <c r="M19" s="80"/>
      <c r="N19" s="80"/>
      <c r="O19" s="80"/>
      <c r="P19" s="80"/>
      <c r="Q19" s="85" t="s">
        <v>47</v>
      </c>
      <c r="R19" s="49" t="str">
        <f>IF(O28=1,M28,(IF(O29=1,M29,(IF(O30=1,M30,1.1)))))</f>
        <v>Paul Snow</v>
      </c>
      <c r="S19" s="20">
        <v>13.97</v>
      </c>
      <c r="T19" s="35">
        <v>3</v>
      </c>
      <c r="U19" s="80"/>
      <c r="V19" s="80"/>
      <c r="W19" s="80"/>
      <c r="X19" s="80"/>
      <c r="Y19" s="80"/>
      <c r="Z19"/>
      <c r="AA19"/>
      <c r="AB19"/>
      <c r="AC19"/>
      <c r="AD19"/>
      <c r="AE19"/>
      <c r="AF19"/>
      <c r="AG19"/>
      <c r="AH19"/>
    </row>
    <row r="20" spans="1:34" ht="19" x14ac:dyDescent="0.25">
      <c r="A20" s="84" t="s">
        <v>36</v>
      </c>
      <c r="B20" s="35">
        <v>6</v>
      </c>
      <c r="C20" s="83" t="s">
        <v>101</v>
      </c>
      <c r="D20" s="44">
        <v>8.16</v>
      </c>
      <c r="E20" s="35">
        <v>3</v>
      </c>
      <c r="F20" s="91"/>
      <c r="G20" s="92" t="s">
        <v>47</v>
      </c>
      <c r="H20" s="31" t="str">
        <f>IF(E25=3,C25,(IF(E26=3,C26,(IF(E27=3,C27,(IF(E28=3,C28,3.4)))))))</f>
        <v>Vitor Whatts Silva</v>
      </c>
      <c r="I20" s="20">
        <v>10.93</v>
      </c>
      <c r="J20" s="35">
        <v>4</v>
      </c>
      <c r="K20" s="91"/>
      <c r="L20" s="79" t="s">
        <v>94</v>
      </c>
      <c r="M20" s="79" t="s">
        <v>75</v>
      </c>
      <c r="N20" s="79"/>
      <c r="O20" s="79">
        <v>9</v>
      </c>
      <c r="P20" s="80"/>
      <c r="Q20" s="86" t="s">
        <v>48</v>
      </c>
      <c r="R20" s="50" t="str">
        <f>IF(O28=2,M28,(IF(O29=2,M29,(IF(O30=2,M30,2.1)))))</f>
        <v>Scott Schindler</v>
      </c>
      <c r="S20" s="20">
        <v>14.73</v>
      </c>
      <c r="T20" s="36">
        <v>2</v>
      </c>
      <c r="U20" s="80"/>
      <c r="V20" s="80"/>
      <c r="W20" s="80"/>
      <c r="X20" s="80"/>
      <c r="Y20" s="80"/>
      <c r="Z20"/>
      <c r="AA20"/>
      <c r="AB20"/>
      <c r="AC20"/>
      <c r="AD20"/>
      <c r="AE20"/>
      <c r="AF20"/>
      <c r="AG20"/>
      <c r="AH20"/>
    </row>
    <row r="21" spans="1:34" ht="19" x14ac:dyDescent="0.25">
      <c r="A21" s="85" t="s">
        <v>47</v>
      </c>
      <c r="B21" s="35">
        <v>11</v>
      </c>
      <c r="C21" s="83" t="s">
        <v>102</v>
      </c>
      <c r="D21" s="44">
        <v>7.6</v>
      </c>
      <c r="E21" s="35">
        <v>4</v>
      </c>
      <c r="F21" s="91"/>
      <c r="G21" s="86" t="s">
        <v>48</v>
      </c>
      <c r="H21" s="20" t="str">
        <f>IF(E25=4,C25,(IF(E26=4,C26,(IF(E27=4,C27,(IF(E28=4,C28,4.4)))))))</f>
        <v>Michael Crisp</v>
      </c>
      <c r="I21" s="20">
        <v>12.77</v>
      </c>
      <c r="J21" s="35">
        <v>2</v>
      </c>
      <c r="K21" s="91"/>
      <c r="L21" s="82" t="s">
        <v>46</v>
      </c>
      <c r="M21" s="43" t="str">
        <f>IF(E19=1,C19,(IF(E20=1,C20,(IF(E21=1,C21,(IF(E22=1,C22,1.3)))))))</f>
        <v>Matt Hoar</v>
      </c>
      <c r="N21" s="20">
        <v>17.760000000000002</v>
      </c>
      <c r="O21" s="21">
        <v>1</v>
      </c>
      <c r="P21" s="80"/>
      <c r="Q21" s="80"/>
      <c r="R21" s="80"/>
      <c r="S21" s="80"/>
      <c r="T21" s="80"/>
      <c r="U21" s="80"/>
      <c r="V21" s="80"/>
      <c r="W21" s="80"/>
      <c r="X21" s="80"/>
      <c r="Y21" s="80"/>
      <c r="Z21"/>
      <c r="AA21"/>
      <c r="AB21"/>
      <c r="AC21"/>
      <c r="AD21"/>
      <c r="AE21"/>
      <c r="AF21"/>
      <c r="AG21"/>
      <c r="AH21"/>
    </row>
    <row r="22" spans="1:34" ht="19" x14ac:dyDescent="0.25">
      <c r="A22" s="93" t="s">
        <v>48</v>
      </c>
      <c r="B22" s="35">
        <v>14</v>
      </c>
      <c r="C22" s="83" t="s">
        <v>169</v>
      </c>
      <c r="D22" s="44">
        <v>15.3</v>
      </c>
      <c r="E22" s="35">
        <v>1</v>
      </c>
      <c r="F22" s="91"/>
      <c r="G22" s="80"/>
      <c r="H22" s="80"/>
      <c r="I22" s="80"/>
      <c r="J22" s="80"/>
      <c r="K22" s="91"/>
      <c r="L22" s="84" t="s">
        <v>36</v>
      </c>
      <c r="M22" s="44" t="str">
        <f>IF(E25=2,C25,(IF(E26=2,C26,(IF(E27=2,C27,(IF(E28=2,C28,2.4)))))))</f>
        <v>Cameron Sharpe</v>
      </c>
      <c r="N22" s="20">
        <v>13.2</v>
      </c>
      <c r="O22" s="35">
        <v>3</v>
      </c>
      <c r="P22" s="80"/>
      <c r="Q22" s="80"/>
      <c r="R22" s="80"/>
      <c r="S22" s="80"/>
      <c r="T22" s="80"/>
      <c r="U22" s="80"/>
      <c r="V22" s="80"/>
      <c r="W22" s="80"/>
      <c r="X22" s="80"/>
      <c r="Y22" s="80"/>
      <c r="Z22"/>
      <c r="AA22"/>
      <c r="AB22"/>
      <c r="AC22"/>
      <c r="AD22"/>
      <c r="AE22"/>
      <c r="AF22"/>
      <c r="AG22"/>
      <c r="AH22"/>
    </row>
    <row r="23" spans="1:34" ht="19" x14ac:dyDescent="0.25">
      <c r="A23"/>
      <c r="B23"/>
      <c r="C23"/>
      <c r="D23" s="180"/>
      <c r="E23"/>
      <c r="F23"/>
      <c r="G23"/>
      <c r="H23"/>
      <c r="I23"/>
      <c r="J23"/>
      <c r="K23"/>
      <c r="L23" s="85" t="s">
        <v>47</v>
      </c>
      <c r="M23" s="44" t="str">
        <f>IF(J18=1,H18,(IF(J19=1,H19,(IF(J20=1,H20,(IF(J21=1,H21,1.6)))))))</f>
        <v>Jake Spooner</v>
      </c>
      <c r="N23" s="20">
        <v>13.33</v>
      </c>
      <c r="O23" s="35">
        <v>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9" x14ac:dyDescent="0.25">
      <c r="A24" s="79" t="s">
        <v>76</v>
      </c>
      <c r="B24" s="79"/>
      <c r="C24" s="79"/>
      <c r="D24" s="96"/>
      <c r="E24" s="79">
        <v>4</v>
      </c>
      <c r="F24"/>
      <c r="G24"/>
      <c r="H24"/>
      <c r="I24"/>
      <c r="J24"/>
      <c r="K24"/>
      <c r="L24" s="80"/>
      <c r="M24" s="80"/>
      <c r="N24" s="80"/>
      <c r="O24" s="8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9" x14ac:dyDescent="0.25">
      <c r="A25" s="82" t="s">
        <v>46</v>
      </c>
      <c r="B25" s="21">
        <v>2</v>
      </c>
      <c r="C25" s="83" t="s">
        <v>103</v>
      </c>
      <c r="D25" s="43">
        <v>12.87</v>
      </c>
      <c r="E25" s="21">
        <v>2</v>
      </c>
      <c r="F25"/>
      <c r="G25"/>
      <c r="H25"/>
      <c r="I25"/>
      <c r="J25"/>
      <c r="K25"/>
      <c r="L25" s="80"/>
      <c r="M25" s="80"/>
      <c r="N25" s="80"/>
      <c r="O25" s="80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9" x14ac:dyDescent="0.25">
      <c r="A26" s="84" t="s">
        <v>36</v>
      </c>
      <c r="B26" s="35">
        <v>7</v>
      </c>
      <c r="C26" s="83" t="s">
        <v>104</v>
      </c>
      <c r="D26" s="44">
        <v>16</v>
      </c>
      <c r="E26" s="35">
        <v>1</v>
      </c>
      <c r="F26"/>
      <c r="G26"/>
      <c r="H26"/>
      <c r="I26"/>
      <c r="J26"/>
      <c r="K26"/>
      <c r="L26" s="80"/>
      <c r="M26" s="80"/>
      <c r="N26" s="80"/>
      <c r="O26" s="8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9" x14ac:dyDescent="0.25">
      <c r="A27" s="85" t="s">
        <v>47</v>
      </c>
      <c r="B27" s="35">
        <v>10</v>
      </c>
      <c r="C27" s="83" t="s">
        <v>105</v>
      </c>
      <c r="D27" s="44">
        <v>7.37</v>
      </c>
      <c r="E27" s="35">
        <v>4</v>
      </c>
      <c r="F27"/>
      <c r="G27"/>
      <c r="H27"/>
      <c r="I27"/>
      <c r="J27"/>
      <c r="K27"/>
      <c r="L27" s="79" t="s">
        <v>95</v>
      </c>
      <c r="M27" s="79" t="s">
        <v>75</v>
      </c>
      <c r="N27" s="79"/>
      <c r="O27" s="79">
        <v>10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9" x14ac:dyDescent="0.25">
      <c r="A28" s="93" t="s">
        <v>48</v>
      </c>
      <c r="B28" s="35">
        <v>15</v>
      </c>
      <c r="C28" s="83" t="s">
        <v>106</v>
      </c>
      <c r="D28" s="44">
        <v>11.53</v>
      </c>
      <c r="E28" s="35">
        <v>3</v>
      </c>
      <c r="F28"/>
      <c r="G28"/>
      <c r="H28"/>
      <c r="I28"/>
      <c r="J28"/>
      <c r="K28"/>
      <c r="L28" s="82" t="s">
        <v>46</v>
      </c>
      <c r="M28" s="43" t="str">
        <f>IF(E19=2,C19,(IF(E20=2,C20,(IF(E21=2,C21,(IF(E22=2,C22,2.3)))))))</f>
        <v>Scott Schindler</v>
      </c>
      <c r="N28" s="20">
        <v>13.26</v>
      </c>
      <c r="O28" s="21">
        <v>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9" x14ac:dyDescent="0.25">
      <c r="A29"/>
      <c r="B29"/>
      <c r="C29"/>
      <c r="D29" s="180"/>
      <c r="E29"/>
      <c r="F29"/>
      <c r="G29"/>
      <c r="H29"/>
      <c r="I29"/>
      <c r="J29"/>
      <c r="K29"/>
      <c r="L29" s="84" t="s">
        <v>36</v>
      </c>
      <c r="M29" s="44" t="s">
        <v>104</v>
      </c>
      <c r="N29" s="20">
        <v>17.86</v>
      </c>
      <c r="O29" s="35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9" x14ac:dyDescent="0.25">
      <c r="A30"/>
      <c r="B30"/>
      <c r="C30"/>
      <c r="D30" s="180"/>
      <c r="E30"/>
      <c r="F30"/>
      <c r="G30"/>
      <c r="H30"/>
      <c r="I30"/>
      <c r="J30"/>
      <c r="K30"/>
      <c r="L30" s="85" t="s">
        <v>47</v>
      </c>
      <c r="M30" s="44" t="str">
        <f>IF(J18=2,H18,(IF(J19=2,H19,(IF(J20=2,H20,(IF(J21=2,H21,2.6)))))))</f>
        <v>Michael Crisp</v>
      </c>
      <c r="N30" s="20">
        <v>7.57</v>
      </c>
      <c r="O30" s="35">
        <v>3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">
      <c r="A31" s="55"/>
      <c r="B31" s="55"/>
      <c r="C31" s="55"/>
      <c r="D31" s="196"/>
      <c r="E31" s="55"/>
      <c r="F31" s="55"/>
      <c r="G31" s="55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9" x14ac:dyDescent="0.25">
      <c r="A32" s="68"/>
      <c r="B32" s="54"/>
      <c r="C32" s="28"/>
      <c r="D32" s="56"/>
      <c r="E32" s="54"/>
      <c r="F32" s="55"/>
      <c r="G32" s="55"/>
      <c r="H32" s="5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9" x14ac:dyDescent="0.25">
      <c r="A33" s="68"/>
      <c r="B33" s="54"/>
      <c r="C33" s="56"/>
      <c r="D33" s="56"/>
      <c r="E33" s="54"/>
      <c r="F33" s="55"/>
      <c r="G33" s="55"/>
      <c r="H33" s="55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">
      <c r="A34" s="55"/>
      <c r="B34" s="55"/>
      <c r="C34" s="55"/>
      <c r="D34" s="196"/>
      <c r="E34" s="55"/>
      <c r="F34" s="55"/>
      <c r="G34" s="55"/>
      <c r="H34" s="55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9" x14ac:dyDescent="0.25">
      <c r="A35" s="55"/>
      <c r="B35" s="55"/>
      <c r="C35" s="55"/>
      <c r="D35" s="196"/>
      <c r="E35" s="55"/>
      <c r="F35" s="55"/>
      <c r="G35" s="55"/>
      <c r="H35" s="5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">
      <c r="A36" s="55"/>
      <c r="B36" s="55"/>
      <c r="C36" s="55"/>
      <c r="D36" s="196"/>
      <c r="E36" s="55"/>
      <c r="F36" s="55"/>
      <c r="G36" s="5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1"/>
  <sheetViews>
    <sheetView topLeftCell="C2" workbookViewId="0">
      <selection activeCell="N6" sqref="N6"/>
    </sheetView>
  </sheetViews>
  <sheetFormatPr baseColWidth="10" defaultColWidth="8.83203125" defaultRowHeight="16" x14ac:dyDescent="0.2"/>
  <cols>
    <col min="1" max="1" width="10.33203125" customWidth="1"/>
    <col min="2" max="2" width="23.1640625" customWidth="1"/>
    <col min="3" max="3" width="16.83203125" customWidth="1"/>
    <col min="4" max="5" width="7.5" customWidth="1"/>
    <col min="6" max="6" width="10.1640625" customWidth="1"/>
    <col min="7" max="7" width="10.33203125" customWidth="1"/>
    <col min="8" max="8" width="21.5" customWidth="1"/>
    <col min="9" max="9" width="14.6640625" customWidth="1"/>
    <col min="10" max="11" width="7.1640625" customWidth="1"/>
    <col min="14" max="14" width="28.6640625" customWidth="1"/>
    <col min="15" max="15" width="8.83203125" style="188"/>
  </cols>
  <sheetData>
    <row r="1" spans="1:16" ht="21" x14ac:dyDescent="0.35">
      <c r="A1" s="15" t="s">
        <v>38</v>
      </c>
      <c r="B1" s="15"/>
      <c r="C1" s="15"/>
      <c r="D1" s="15"/>
      <c r="E1" s="77"/>
    </row>
    <row r="2" spans="1:16" ht="18.75" x14ac:dyDescent="0.3">
      <c r="A2" s="30"/>
      <c r="B2" s="30"/>
      <c r="C2" s="30"/>
      <c r="D2" s="30"/>
      <c r="E2" s="95"/>
      <c r="F2" s="30"/>
      <c r="G2" s="30"/>
      <c r="H2" s="30"/>
      <c r="I2" s="30"/>
      <c r="J2" s="30"/>
      <c r="K2" s="95"/>
      <c r="L2" s="30"/>
      <c r="M2" s="30"/>
      <c r="N2" s="30"/>
      <c r="O2" s="118"/>
      <c r="P2" s="30"/>
    </row>
    <row r="3" spans="1:16" ht="18.75" x14ac:dyDescent="0.3">
      <c r="A3" s="17"/>
      <c r="B3" s="22" t="s">
        <v>49</v>
      </c>
      <c r="C3" s="17">
        <v>1</v>
      </c>
      <c r="D3" s="17" t="s">
        <v>52</v>
      </c>
      <c r="E3" s="80" t="s">
        <v>196</v>
      </c>
      <c r="F3" s="30"/>
      <c r="G3" s="17"/>
      <c r="H3" s="22" t="s">
        <v>49</v>
      </c>
      <c r="I3" s="17">
        <v>2</v>
      </c>
      <c r="J3" s="17" t="s">
        <v>52</v>
      </c>
      <c r="K3" s="80" t="s">
        <v>196</v>
      </c>
      <c r="L3" s="30"/>
      <c r="M3" s="17"/>
      <c r="N3" s="22" t="s">
        <v>62</v>
      </c>
      <c r="O3" s="79" t="s">
        <v>196</v>
      </c>
      <c r="P3" s="30"/>
    </row>
    <row r="4" spans="1:16" ht="18.75" x14ac:dyDescent="0.3">
      <c r="A4" s="25" t="s">
        <v>46</v>
      </c>
      <c r="B4" s="83" t="s">
        <v>107</v>
      </c>
      <c r="C4" s="74">
        <v>15.5</v>
      </c>
      <c r="D4" s="177">
        <v>1</v>
      </c>
      <c r="E4" s="63">
        <v>12</v>
      </c>
      <c r="F4" s="30"/>
      <c r="G4" s="62" t="s">
        <v>46</v>
      </c>
      <c r="H4" s="83" t="s">
        <v>107</v>
      </c>
      <c r="I4" s="20">
        <v>13.83</v>
      </c>
      <c r="J4" s="35">
        <v>2</v>
      </c>
      <c r="K4" s="63">
        <v>10</v>
      </c>
      <c r="L4" s="30"/>
      <c r="M4" s="187">
        <v>1</v>
      </c>
      <c r="N4" s="32" t="s">
        <v>197</v>
      </c>
      <c r="O4" s="63">
        <v>22</v>
      </c>
      <c r="P4" s="91"/>
    </row>
    <row r="5" spans="1:16" ht="18.75" x14ac:dyDescent="0.3">
      <c r="A5" s="63" t="s">
        <v>36</v>
      </c>
      <c r="B5" s="83" t="s">
        <v>108</v>
      </c>
      <c r="C5" s="20">
        <v>11.43</v>
      </c>
      <c r="D5" s="177">
        <v>2</v>
      </c>
      <c r="E5" s="63">
        <v>10</v>
      </c>
      <c r="F5" s="30"/>
      <c r="G5" s="63" t="s">
        <v>36</v>
      </c>
      <c r="H5" s="83" t="s">
        <v>108</v>
      </c>
      <c r="I5" s="20">
        <v>15.07</v>
      </c>
      <c r="J5" s="35">
        <v>1</v>
      </c>
      <c r="K5" s="63">
        <v>12</v>
      </c>
      <c r="L5" s="30"/>
      <c r="M5" s="187">
        <v>2</v>
      </c>
      <c r="N5" s="32" t="s">
        <v>198</v>
      </c>
      <c r="O5" s="63">
        <v>22</v>
      </c>
      <c r="P5" s="91"/>
    </row>
    <row r="6" spans="1:16" ht="18.75" x14ac:dyDescent="0.3">
      <c r="A6" s="64" t="s">
        <v>47</v>
      </c>
      <c r="B6" s="83" t="s">
        <v>109</v>
      </c>
      <c r="C6" s="20">
        <v>5.9</v>
      </c>
      <c r="D6" s="177">
        <v>3</v>
      </c>
      <c r="E6" s="63">
        <v>8</v>
      </c>
      <c r="F6" s="30"/>
      <c r="G6" s="64" t="s">
        <v>47</v>
      </c>
      <c r="H6" s="83" t="s">
        <v>109</v>
      </c>
      <c r="I6" s="20">
        <v>4.66</v>
      </c>
      <c r="J6" s="35">
        <v>3</v>
      </c>
      <c r="K6" s="63">
        <v>8</v>
      </c>
      <c r="L6" s="30"/>
      <c r="M6" s="187">
        <v>3</v>
      </c>
      <c r="N6" s="32" t="s">
        <v>109</v>
      </c>
      <c r="O6" s="63">
        <v>16</v>
      </c>
      <c r="P6" s="91"/>
    </row>
    <row r="7" spans="1:16" ht="18.75" x14ac:dyDescent="0.3">
      <c r="A7" s="57"/>
      <c r="B7" s="28"/>
      <c r="C7" s="54"/>
      <c r="D7" s="54"/>
      <c r="E7" s="125"/>
      <c r="F7" s="55"/>
      <c r="G7" s="57"/>
      <c r="H7" s="28"/>
      <c r="I7" s="54"/>
      <c r="J7" s="54"/>
      <c r="K7" s="54"/>
      <c r="L7" s="55"/>
      <c r="M7" s="57"/>
      <c r="N7" s="28"/>
      <c r="O7" s="53"/>
      <c r="P7" s="54"/>
    </row>
    <row r="8" spans="1:16" ht="18.75" x14ac:dyDescent="0.3">
      <c r="A8" s="28"/>
      <c r="B8" s="28"/>
      <c r="C8" s="55"/>
      <c r="D8" s="55"/>
      <c r="E8" s="55"/>
      <c r="F8" s="55"/>
      <c r="G8" s="28"/>
      <c r="H8" s="28"/>
      <c r="I8" s="55"/>
      <c r="J8" s="55"/>
      <c r="K8" s="55"/>
      <c r="L8" s="55"/>
      <c r="M8" s="28"/>
      <c r="N8" s="28"/>
      <c r="O8" s="189"/>
      <c r="P8" s="55"/>
    </row>
    <row r="9" spans="1:16" ht="18.75" x14ac:dyDescent="0.3">
      <c r="A9" s="59"/>
      <c r="B9" s="28"/>
      <c r="C9" s="55"/>
      <c r="D9" s="55"/>
      <c r="E9" s="55"/>
      <c r="F9" s="55"/>
      <c r="G9" s="59"/>
      <c r="H9" s="28"/>
      <c r="I9" s="55"/>
      <c r="J9" s="55"/>
      <c r="K9" s="55"/>
      <c r="L9" s="55"/>
      <c r="M9" s="59"/>
      <c r="N9" s="28"/>
      <c r="O9" s="189"/>
      <c r="P9" s="55"/>
    </row>
    <row r="11" spans="1:16" ht="18.75" x14ac:dyDescent="0.3">
      <c r="A11" s="28" t="s">
        <v>51</v>
      </c>
      <c r="B11" s="24" t="s">
        <v>52</v>
      </c>
      <c r="C11" s="24" t="s">
        <v>53</v>
      </c>
      <c r="D11" s="29"/>
      <c r="E11" s="29"/>
      <c r="F11" s="29"/>
    </row>
    <row r="12" spans="1:16" x14ac:dyDescent="0.2">
      <c r="B12" s="24" t="s">
        <v>54</v>
      </c>
      <c r="C12" s="24">
        <v>12</v>
      </c>
      <c r="D12" s="29"/>
      <c r="E12" s="29"/>
      <c r="F12" s="29"/>
    </row>
    <row r="13" spans="1:16" x14ac:dyDescent="0.2">
      <c r="B13" s="24" t="s">
        <v>55</v>
      </c>
      <c r="C13" s="24">
        <v>10</v>
      </c>
      <c r="D13" s="29"/>
      <c r="E13" s="29"/>
      <c r="F13" s="29"/>
    </row>
    <row r="14" spans="1:16" x14ac:dyDescent="0.2">
      <c r="B14" s="24" t="s">
        <v>56</v>
      </c>
      <c r="C14" s="24">
        <v>8</v>
      </c>
      <c r="D14" s="29"/>
      <c r="E14" s="29"/>
      <c r="F14" s="29"/>
    </row>
    <row r="15" spans="1:16" x14ac:dyDescent="0.2">
      <c r="B15" s="24" t="s">
        <v>57</v>
      </c>
      <c r="C15" s="24">
        <v>6</v>
      </c>
      <c r="D15" s="29"/>
      <c r="E15" s="29"/>
      <c r="F15" s="29"/>
      <c r="G15" s="13"/>
      <c r="H15" s="13"/>
    </row>
    <row r="16" spans="1:16" x14ac:dyDescent="0.2">
      <c r="B16" s="24" t="s">
        <v>37</v>
      </c>
      <c r="C16" s="24">
        <v>4</v>
      </c>
      <c r="D16" s="29"/>
      <c r="E16" s="29"/>
      <c r="F16" s="29"/>
      <c r="G16" s="14"/>
      <c r="H16" s="14"/>
    </row>
    <row r="17" spans="1:6" x14ac:dyDescent="0.2">
      <c r="B17" s="24" t="s">
        <v>58</v>
      </c>
      <c r="C17" s="24">
        <v>2</v>
      </c>
      <c r="D17" s="29"/>
      <c r="E17" s="29"/>
      <c r="F17" s="29"/>
    </row>
    <row r="19" spans="1:6" x14ac:dyDescent="0.2">
      <c r="A19" t="s">
        <v>59</v>
      </c>
    </row>
    <row r="20" spans="1:6" x14ac:dyDescent="0.2">
      <c r="A20" t="s">
        <v>60</v>
      </c>
    </row>
    <row r="21" spans="1:6" x14ac:dyDescent="0.2">
      <c r="A21" t="s">
        <v>61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7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35"/>
  <sheetViews>
    <sheetView topLeftCell="J8" zoomScale="80" zoomScaleNormal="80" workbookViewId="0">
      <selection activeCell="Z11" sqref="Z11"/>
    </sheetView>
  </sheetViews>
  <sheetFormatPr baseColWidth="10" defaultColWidth="11" defaultRowHeight="16" x14ac:dyDescent="0.2"/>
  <cols>
    <col min="1" max="1" width="11" customWidth="1"/>
    <col min="2" max="2" width="4.5" hidden="1" customWidth="1"/>
    <col min="3" max="3" width="19.83203125" bestFit="1" customWidth="1"/>
    <col min="4" max="4" width="13.83203125" style="180" customWidth="1"/>
    <col min="5" max="5" width="8.6640625" customWidth="1"/>
    <col min="6" max="6" width="4" style="29" customWidth="1"/>
    <col min="8" max="8" width="23.6640625" customWidth="1"/>
    <col min="9" max="9" width="13.6640625" style="180" customWidth="1"/>
    <col min="10" max="10" width="5.5" customWidth="1"/>
    <col min="11" max="11" width="7.33203125" customWidth="1"/>
    <col min="13" max="13" width="22.33203125" customWidth="1"/>
    <col min="14" max="14" width="15.1640625" style="180" customWidth="1"/>
    <col min="15" max="15" width="8.1640625" customWidth="1"/>
    <col min="18" max="18" width="22.5" customWidth="1"/>
    <col min="19" max="19" width="16.83203125" customWidth="1"/>
    <col min="20" max="21" width="7.1640625" customWidth="1"/>
    <col min="23" max="23" width="22.5" customWidth="1"/>
    <col min="24" max="24" width="15.6640625" customWidth="1"/>
    <col min="25" max="25" width="7.6640625" customWidth="1"/>
  </cols>
  <sheetData>
    <row r="2" spans="1:25" ht="21" x14ac:dyDescent="0.35">
      <c r="A2" s="15" t="s">
        <v>40</v>
      </c>
      <c r="B2" s="15"/>
    </row>
    <row r="4" spans="1:25" ht="18.75" x14ac:dyDescent="0.3">
      <c r="A4" s="79" t="s">
        <v>45</v>
      </c>
      <c r="B4" s="80"/>
      <c r="C4" s="80"/>
      <c r="D4" s="117" t="s">
        <v>80</v>
      </c>
      <c r="E4" s="117" t="s">
        <v>81</v>
      </c>
      <c r="F4" s="79"/>
      <c r="G4" s="80"/>
      <c r="H4" s="80"/>
      <c r="I4" s="214"/>
      <c r="J4" s="80"/>
      <c r="K4" s="80"/>
      <c r="L4" s="79" t="s">
        <v>27</v>
      </c>
      <c r="M4" s="80"/>
      <c r="N4" s="117" t="s">
        <v>80</v>
      </c>
      <c r="O4" s="117" t="s">
        <v>81</v>
      </c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18.75" x14ac:dyDescent="0.3">
      <c r="A5" s="79" t="s">
        <v>67</v>
      </c>
      <c r="B5" s="79"/>
      <c r="C5" s="79"/>
      <c r="D5" s="96"/>
      <c r="E5" s="79">
        <v>1</v>
      </c>
      <c r="F5" s="79"/>
      <c r="G5" s="80"/>
      <c r="H5" s="80"/>
      <c r="I5" s="214"/>
      <c r="J5" s="80"/>
      <c r="K5" s="80"/>
      <c r="L5" s="79" t="s">
        <v>92</v>
      </c>
      <c r="M5" s="79" t="s">
        <v>75</v>
      </c>
      <c r="N5" s="96"/>
      <c r="O5" s="79">
        <v>9</v>
      </c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8.75" x14ac:dyDescent="0.3">
      <c r="A6" s="82" t="s">
        <v>46</v>
      </c>
      <c r="B6" s="35">
        <v>1</v>
      </c>
      <c r="C6" s="83" t="s">
        <v>96</v>
      </c>
      <c r="D6" s="88">
        <v>14.6</v>
      </c>
      <c r="E6" s="18">
        <v>1</v>
      </c>
      <c r="F6" s="91"/>
      <c r="G6" s="80"/>
      <c r="H6" s="80"/>
      <c r="I6" s="214"/>
      <c r="J6" s="80"/>
      <c r="K6" s="91"/>
      <c r="L6" s="82" t="s">
        <v>46</v>
      </c>
      <c r="M6" s="43" t="str">
        <f>IF(E6=1,C6,(IF(E7=1,C7,(IF(E8=1,C8,(IF(E9=1,C9,1.1)))))))</f>
        <v>Mitchell Dawkings</v>
      </c>
      <c r="N6" s="20">
        <v>16.670000000000002</v>
      </c>
      <c r="O6" s="21">
        <v>1</v>
      </c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8.75" x14ac:dyDescent="0.3">
      <c r="A7" s="84" t="s">
        <v>36</v>
      </c>
      <c r="B7" s="40">
        <v>6</v>
      </c>
      <c r="C7" s="83" t="s">
        <v>110</v>
      </c>
      <c r="D7" s="69">
        <v>7.86</v>
      </c>
      <c r="E7" s="41">
        <v>3</v>
      </c>
      <c r="F7" s="91"/>
      <c r="G7" s="80"/>
      <c r="H7" s="80"/>
      <c r="I7" s="214"/>
      <c r="J7" s="80"/>
      <c r="K7" s="91"/>
      <c r="L7" s="84" t="s">
        <v>36</v>
      </c>
      <c r="M7" s="44" t="str">
        <f>IF(E12=2,C12,(IF(E13=2,C13,(IF(E14=2,C14,(IF(E15=2,C15,2.2)))))))</f>
        <v>Paul Snow</v>
      </c>
      <c r="N7" s="20">
        <v>12</v>
      </c>
      <c r="O7" s="35">
        <v>2</v>
      </c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8.75" x14ac:dyDescent="0.3">
      <c r="A8" s="85" t="s">
        <v>47</v>
      </c>
      <c r="B8" s="35">
        <v>15</v>
      </c>
      <c r="C8" s="83" t="s">
        <v>176</v>
      </c>
      <c r="D8" s="88">
        <v>6.3</v>
      </c>
      <c r="E8" s="18">
        <v>4</v>
      </c>
      <c r="F8" s="91"/>
      <c r="G8" s="79" t="s">
        <v>68</v>
      </c>
      <c r="H8" s="80"/>
      <c r="I8" s="117" t="s">
        <v>80</v>
      </c>
      <c r="J8" s="117" t="s">
        <v>81</v>
      </c>
      <c r="K8" s="91"/>
      <c r="L8" s="85" t="s">
        <v>47</v>
      </c>
      <c r="M8" s="44" t="s">
        <v>110</v>
      </c>
      <c r="N8" s="20">
        <v>6.5</v>
      </c>
      <c r="O8" s="35">
        <v>4</v>
      </c>
      <c r="P8" s="80"/>
      <c r="Q8" s="79" t="s">
        <v>72</v>
      </c>
      <c r="S8" s="117" t="s">
        <v>80</v>
      </c>
      <c r="T8" s="117" t="s">
        <v>81</v>
      </c>
      <c r="U8" s="80"/>
      <c r="V8" s="80"/>
      <c r="W8" s="80"/>
      <c r="X8" s="80"/>
      <c r="Y8" s="80"/>
    </row>
    <row r="9" spans="1:25" ht="18.75" x14ac:dyDescent="0.3">
      <c r="A9" s="86" t="s">
        <v>48</v>
      </c>
      <c r="B9" s="36">
        <v>20</v>
      </c>
      <c r="C9" s="83" t="s">
        <v>111</v>
      </c>
      <c r="D9" s="89">
        <v>8.5</v>
      </c>
      <c r="E9" s="19">
        <v>2</v>
      </c>
      <c r="F9" s="91"/>
      <c r="G9" s="79" t="s">
        <v>69</v>
      </c>
      <c r="H9" s="211" t="s">
        <v>204</v>
      </c>
      <c r="I9" s="96"/>
      <c r="J9" s="79">
        <v>6</v>
      </c>
      <c r="K9" s="46"/>
      <c r="L9" s="86" t="s">
        <v>48</v>
      </c>
      <c r="M9" s="31" t="str">
        <f>IF(J16=2,H16,(IF(J17=2,H17,(IF(J18=2,H18,(IF(J19=2,H19,2.7)))))))</f>
        <v>Daniel Perkowski</v>
      </c>
      <c r="N9" s="20">
        <v>8.36</v>
      </c>
      <c r="O9" s="35">
        <v>3</v>
      </c>
      <c r="P9" s="79"/>
      <c r="Q9" s="79" t="s">
        <v>69</v>
      </c>
      <c r="R9" s="79"/>
      <c r="S9" s="79"/>
      <c r="T9" s="79">
        <v>13</v>
      </c>
      <c r="U9" s="80"/>
      <c r="V9" s="80"/>
      <c r="W9" s="80"/>
      <c r="X9" s="80"/>
      <c r="Y9" s="80"/>
    </row>
    <row r="10" spans="1:25" ht="18.75" x14ac:dyDescent="0.3">
      <c r="A10" s="91"/>
      <c r="B10" s="91"/>
      <c r="C10" s="91"/>
      <c r="D10" s="48"/>
      <c r="E10" s="91"/>
      <c r="F10" s="91"/>
      <c r="G10" s="82" t="s">
        <v>46</v>
      </c>
      <c r="H10" s="20" t="str">
        <f>IF(E6=3,C6,(IF(E7=3,C7,(IF(E8=3,C8,(IF(E9=3,C9,3.1)))))))</f>
        <v>Andrew Symington</v>
      </c>
      <c r="I10" s="88"/>
      <c r="J10" s="18"/>
      <c r="K10" s="91"/>
      <c r="L10" s="80"/>
      <c r="M10" s="80"/>
      <c r="N10" s="214"/>
      <c r="O10" s="80"/>
      <c r="P10" s="80"/>
      <c r="Q10" s="82" t="s">
        <v>46</v>
      </c>
      <c r="R10" s="20" t="str">
        <f>IF(O6=1,M6,(IF(O7=1,M7,(IF(O8=1,M8,(IF(O9=1,M9,1.9)))))))</f>
        <v>Mitchell Dawkings</v>
      </c>
      <c r="S10" s="88">
        <v>13.37</v>
      </c>
      <c r="T10" s="18">
        <v>1</v>
      </c>
      <c r="U10" s="80"/>
      <c r="V10" s="80"/>
      <c r="W10" s="80"/>
      <c r="X10" s="80"/>
      <c r="Y10" s="80"/>
    </row>
    <row r="11" spans="1:25" ht="18.75" x14ac:dyDescent="0.3">
      <c r="A11" s="79" t="s">
        <v>70</v>
      </c>
      <c r="B11" s="79"/>
      <c r="C11" s="79"/>
      <c r="D11" s="96"/>
      <c r="E11" s="79">
        <v>2</v>
      </c>
      <c r="F11" s="80"/>
      <c r="G11" s="84" t="s">
        <v>36</v>
      </c>
      <c r="H11" s="20" t="str">
        <f>IF(E12=3,C12,(IF(E13=3,C13,(IF(E14=3,C14,(IF(E15=3,C15,3.2)))))))</f>
        <v>Sean Lancaster</v>
      </c>
      <c r="I11" s="69"/>
      <c r="J11" s="41"/>
      <c r="K11" s="80"/>
      <c r="L11" s="80"/>
      <c r="M11" s="80"/>
      <c r="N11" s="214"/>
      <c r="O11" s="80"/>
      <c r="P11" s="80"/>
      <c r="Q11" s="84" t="s">
        <v>36</v>
      </c>
      <c r="R11" s="20" t="str">
        <f>IF(O7=2,M7,(IF(O8=2,M8,(IF(O9=2,M9,(IF(O6=2,M6,2.9)))))))</f>
        <v>Paul Snow</v>
      </c>
      <c r="S11" s="69">
        <v>12.57</v>
      </c>
      <c r="T11" s="41">
        <v>3</v>
      </c>
      <c r="U11" s="80"/>
      <c r="V11" s="70" t="s">
        <v>17</v>
      </c>
      <c r="W11" s="95"/>
      <c r="X11" s="117" t="s">
        <v>80</v>
      </c>
      <c r="Y11" s="117" t="s">
        <v>81</v>
      </c>
    </row>
    <row r="12" spans="1:25" ht="18.75" x14ac:dyDescent="0.3">
      <c r="A12" s="82" t="s">
        <v>46</v>
      </c>
      <c r="B12" s="21">
        <v>3</v>
      </c>
      <c r="C12" s="83" t="s">
        <v>104</v>
      </c>
      <c r="D12" s="43">
        <v>10.43</v>
      </c>
      <c r="E12" s="21">
        <v>2</v>
      </c>
      <c r="F12" s="91"/>
      <c r="G12" s="92" t="s">
        <v>47</v>
      </c>
      <c r="H12" s="31">
        <f>IF(E18=4,C18,(IF(E19=4,C19,(IF(E20=4,C20,(IF(E21=4,C21,4.3)))))))</f>
        <v>4.3</v>
      </c>
      <c r="I12" s="20"/>
      <c r="J12" s="35"/>
      <c r="K12" s="91"/>
      <c r="L12" s="79" t="s">
        <v>93</v>
      </c>
      <c r="M12" s="79" t="s">
        <v>75</v>
      </c>
      <c r="N12" s="96"/>
      <c r="O12" s="79">
        <v>10</v>
      </c>
      <c r="P12" s="80"/>
      <c r="Q12" s="85" t="s">
        <v>47</v>
      </c>
      <c r="R12" s="119" t="str">
        <f>IF(O13=1,M13,(IF(O14=1,M14,(IF(O15=1,M15,(IF(O16=1,M16,1.1)))))))</f>
        <v>Sean Lancaster</v>
      </c>
      <c r="S12" s="88">
        <v>12.83</v>
      </c>
      <c r="T12" s="18">
        <v>2</v>
      </c>
      <c r="U12" s="80"/>
      <c r="V12" s="70"/>
      <c r="W12" s="70"/>
      <c r="X12" s="70"/>
      <c r="Y12" s="79">
        <v>15</v>
      </c>
    </row>
    <row r="13" spans="1:25" ht="18.75" x14ac:dyDescent="0.3">
      <c r="A13" s="84" t="s">
        <v>36</v>
      </c>
      <c r="B13" s="35">
        <v>8</v>
      </c>
      <c r="C13" s="83" t="s">
        <v>97</v>
      </c>
      <c r="D13" s="44">
        <v>13.9</v>
      </c>
      <c r="E13" s="35">
        <v>1</v>
      </c>
      <c r="F13" s="91"/>
      <c r="G13" s="68"/>
      <c r="H13" s="55"/>
      <c r="I13" s="56"/>
      <c r="J13" s="54"/>
      <c r="K13" s="91"/>
      <c r="L13" s="82" t="s">
        <v>46</v>
      </c>
      <c r="M13" s="43" t="str">
        <f>IF(E6=2,C6,(IF(E7=2,C7,(IF(E8=2,C8,(IF(E9=2,C9,2.1)))))))</f>
        <v>Kieran White</v>
      </c>
      <c r="N13" s="20">
        <v>10.43</v>
      </c>
      <c r="O13" s="21">
        <v>2</v>
      </c>
      <c r="P13" s="80"/>
      <c r="Q13" s="86" t="s">
        <v>48</v>
      </c>
      <c r="R13" s="119" t="str">
        <f>IF(O14=2,M14,(IF(O15=2,M15,(IF(O16=2,M16,(IF(O13=2,M13,2.1)))))))</f>
        <v>Kieran White</v>
      </c>
      <c r="S13" s="89">
        <v>5.44</v>
      </c>
      <c r="T13" s="19">
        <v>4</v>
      </c>
      <c r="U13" s="80"/>
      <c r="V13" s="82" t="s">
        <v>46</v>
      </c>
      <c r="W13" s="20" t="str">
        <f>IF(T10=1,R10,(IF(T11=1,R11,(IF(T12=1,R12,(IF(T13=1,R13,1.13)))))))</f>
        <v>Mitchell Dawkings</v>
      </c>
      <c r="X13" s="74">
        <v>12.5</v>
      </c>
      <c r="Y13" s="73">
        <v>2</v>
      </c>
    </row>
    <row r="14" spans="1:25" ht="18.75" x14ac:dyDescent="0.3">
      <c r="A14" s="85" t="s">
        <v>47</v>
      </c>
      <c r="B14" s="35">
        <v>13</v>
      </c>
      <c r="C14" s="83" t="s">
        <v>175</v>
      </c>
      <c r="D14" s="44">
        <v>6.77</v>
      </c>
      <c r="E14" s="35">
        <v>4</v>
      </c>
      <c r="F14" s="91"/>
      <c r="G14" s="91"/>
      <c r="H14" s="48"/>
      <c r="I14" s="48"/>
      <c r="J14" s="91"/>
      <c r="K14" s="91"/>
      <c r="L14" s="84" t="s">
        <v>36</v>
      </c>
      <c r="M14" s="44" t="str">
        <f>IF(E12=1,C12,(IF(E13=1,C13,(IF(E14=1,C14,(IF(E15=1,C15,1.2)))))))</f>
        <v>Rob Hazlewood</v>
      </c>
      <c r="N14" s="20">
        <v>9.6999999999999993</v>
      </c>
      <c r="O14" s="35">
        <v>3</v>
      </c>
      <c r="P14" s="80"/>
      <c r="Q14" s="91"/>
      <c r="R14" s="48"/>
      <c r="S14" s="48"/>
      <c r="T14" s="91"/>
      <c r="U14" s="80"/>
      <c r="V14" s="84" t="s">
        <v>36</v>
      </c>
      <c r="W14" s="20" t="str">
        <f>IF(T10=2,R10,(IF(T11=2,R11,(IF(T12=2,R12,(IF(T13=2,R13,2.13)))))))</f>
        <v>Sean Lancaster</v>
      </c>
      <c r="X14" s="20">
        <v>10.33</v>
      </c>
      <c r="Y14" s="83">
        <v>4</v>
      </c>
    </row>
    <row r="15" spans="1:25" ht="18.75" x14ac:dyDescent="0.3">
      <c r="A15" s="86" t="s">
        <v>48</v>
      </c>
      <c r="B15" s="36">
        <v>18</v>
      </c>
      <c r="C15" s="83" t="s">
        <v>112</v>
      </c>
      <c r="D15" s="45">
        <v>9.07</v>
      </c>
      <c r="E15" s="36">
        <v>3</v>
      </c>
      <c r="F15" s="91"/>
      <c r="G15" s="79" t="s">
        <v>74</v>
      </c>
      <c r="H15" s="79"/>
      <c r="I15" s="96"/>
      <c r="J15" s="79">
        <v>7</v>
      </c>
      <c r="K15" s="80"/>
      <c r="L15" s="85" t="s">
        <v>47</v>
      </c>
      <c r="M15" s="44" t="s">
        <v>112</v>
      </c>
      <c r="N15" s="20">
        <v>11.13</v>
      </c>
      <c r="O15" s="35">
        <v>1</v>
      </c>
      <c r="P15" s="80"/>
      <c r="Q15" s="79" t="s">
        <v>74</v>
      </c>
      <c r="R15" s="96"/>
      <c r="S15" s="96"/>
      <c r="T15" s="79">
        <v>14</v>
      </c>
      <c r="U15" s="80"/>
      <c r="V15" s="85" t="s">
        <v>47</v>
      </c>
      <c r="W15" s="20" t="str">
        <f>IF(T16=1,R16,(IF(T17=1,R17,(IF(T18=1,R18,(IF(T19=1,R19,1.14)))))))</f>
        <v>Paul Parkes</v>
      </c>
      <c r="X15" s="37">
        <v>18.829999999999998</v>
      </c>
      <c r="Y15" s="76">
        <v>1</v>
      </c>
    </row>
    <row r="16" spans="1:25" ht="18.75" x14ac:dyDescent="0.3">
      <c r="A16" s="91"/>
      <c r="B16" s="91"/>
      <c r="C16" s="91"/>
      <c r="D16" s="48"/>
      <c r="E16" s="91"/>
      <c r="F16" s="91"/>
      <c r="G16" s="82" t="s">
        <v>46</v>
      </c>
      <c r="H16" s="20" t="str">
        <f>IF(E6=4,C6,(IF(E7=4,C7,(IF(E8=4,C8,(IF(E9=4,C9,4.1)))))))</f>
        <v>Luke Kearney</v>
      </c>
      <c r="I16" s="20">
        <v>6.8</v>
      </c>
      <c r="J16" s="35">
        <v>4</v>
      </c>
      <c r="K16" s="80"/>
      <c r="L16" s="86" t="s">
        <v>48</v>
      </c>
      <c r="M16" s="31" t="str">
        <f>IF(J16=1,H16,(IF(J17=1,H17,(IF(J18=1,H18,(IF(J19=1,H19,1.7)))))))</f>
        <v>Matthew Chelman</v>
      </c>
      <c r="N16" s="20">
        <v>5.9</v>
      </c>
      <c r="O16" s="35">
        <v>4</v>
      </c>
      <c r="P16" s="80"/>
      <c r="Q16" s="82" t="s">
        <v>46</v>
      </c>
      <c r="R16" s="43" t="str">
        <f>IF(O20=1,M20,(IF(O21=1,M21,(IF(O22=1,M22,(IF(O23=1,M23,1.11)))))))</f>
        <v>Paul Parkes</v>
      </c>
      <c r="S16" s="20">
        <v>14.03</v>
      </c>
      <c r="T16" s="21">
        <v>1</v>
      </c>
      <c r="U16" s="80"/>
      <c r="V16" s="86" t="s">
        <v>48</v>
      </c>
      <c r="W16" s="20" t="s">
        <v>114</v>
      </c>
      <c r="X16" s="37">
        <v>11.1</v>
      </c>
      <c r="Y16" s="76">
        <v>3</v>
      </c>
    </row>
    <row r="17" spans="1:25" ht="18.75" x14ac:dyDescent="0.3">
      <c r="A17" s="79" t="s">
        <v>73</v>
      </c>
      <c r="B17" s="79"/>
      <c r="C17" s="79"/>
      <c r="D17" s="96"/>
      <c r="E17" s="79">
        <v>3</v>
      </c>
      <c r="F17" s="80"/>
      <c r="G17" s="84" t="s">
        <v>36</v>
      </c>
      <c r="H17" s="120" t="str">
        <f>IF(E12=4,C12,(IF(E13=4,C13,(IF(E14=4,C14,(IF(E15=4,C15,4.2)))))))</f>
        <v>Daniel Perkowski</v>
      </c>
      <c r="I17" s="20">
        <v>10.6</v>
      </c>
      <c r="J17" s="35">
        <v>2</v>
      </c>
      <c r="K17" s="80"/>
      <c r="L17" s="95"/>
      <c r="M17" s="95"/>
      <c r="N17" s="218"/>
      <c r="O17" s="95"/>
      <c r="P17" s="80"/>
      <c r="Q17" s="84" t="s">
        <v>36</v>
      </c>
      <c r="R17" s="43" t="str">
        <f>IF(O21=2,M21,(IF(O22=2,M22,(IF(O23=2,M23,(IF(O20=2,M20,2.11)))))))</f>
        <v>Ricky Marshall</v>
      </c>
      <c r="S17" s="20">
        <v>10.36</v>
      </c>
      <c r="T17" s="35">
        <v>3</v>
      </c>
      <c r="U17" s="80"/>
      <c r="V17" s="95"/>
      <c r="W17" s="95"/>
      <c r="X17" s="95"/>
      <c r="Y17" s="95"/>
    </row>
    <row r="18" spans="1:25" ht="18.75" x14ac:dyDescent="0.3">
      <c r="A18" s="82" t="s">
        <v>46</v>
      </c>
      <c r="B18" s="21">
        <v>4</v>
      </c>
      <c r="C18" s="83" t="s">
        <v>113</v>
      </c>
      <c r="D18" s="43">
        <v>13.43</v>
      </c>
      <c r="E18" s="21">
        <v>1</v>
      </c>
      <c r="F18" s="91"/>
      <c r="G18" s="92" t="s">
        <v>47</v>
      </c>
      <c r="H18" s="31" t="str">
        <f>IF(E24=3,C24,(IF(E25=3,C25,(IF(E26=3,C26,(IF(E27=3,C27,3.4)))))))</f>
        <v>Matthew Chelman</v>
      </c>
      <c r="I18" s="20">
        <v>14.53</v>
      </c>
      <c r="J18" s="35">
        <v>1</v>
      </c>
      <c r="K18" s="80"/>
      <c r="L18" s="79"/>
      <c r="M18" s="80"/>
      <c r="N18" s="214"/>
      <c r="O18" s="80"/>
      <c r="P18" s="80"/>
      <c r="Q18" s="85" t="s">
        <v>47</v>
      </c>
      <c r="R18" s="44" t="str">
        <f>IF(O27=1,M27,(IF(O28=1,M28,(IF(O29=1,M29,(IF(O30=1,M30,1.12)))))))</f>
        <v>Cameron Sharpe</v>
      </c>
      <c r="S18" s="20">
        <v>8.17</v>
      </c>
      <c r="T18" s="35">
        <v>4</v>
      </c>
      <c r="U18" s="80"/>
      <c r="V18" s="80"/>
      <c r="W18" s="80"/>
      <c r="X18" s="80"/>
      <c r="Y18" s="80"/>
    </row>
    <row r="19" spans="1:25" ht="18.75" x14ac:dyDescent="0.3">
      <c r="A19" s="84" t="s">
        <v>36</v>
      </c>
      <c r="B19" s="35">
        <v>9</v>
      </c>
      <c r="C19" s="83" t="s">
        <v>114</v>
      </c>
      <c r="D19" s="44">
        <v>11.5</v>
      </c>
      <c r="E19" s="35">
        <v>2</v>
      </c>
      <c r="F19" s="91"/>
      <c r="G19" s="86" t="s">
        <v>48</v>
      </c>
      <c r="H19" s="31" t="str">
        <f>IF(E30=3,C30,(IF(E31=3,C31,(IF(E32=3,C32,(IF(E33=3,C33,3.5)))))))</f>
        <v>Wade Lazich</v>
      </c>
      <c r="I19" s="20">
        <v>9.8699999999999992</v>
      </c>
      <c r="J19" s="35">
        <v>3</v>
      </c>
      <c r="K19" s="91"/>
      <c r="L19" s="79" t="s">
        <v>94</v>
      </c>
      <c r="M19" s="79" t="s">
        <v>75</v>
      </c>
      <c r="N19" s="96"/>
      <c r="O19" s="79">
        <v>11</v>
      </c>
      <c r="P19" s="80"/>
      <c r="Q19" s="86" t="s">
        <v>48</v>
      </c>
      <c r="R19" s="44" t="str">
        <f>IF(O28=2,M28,(IF(O29=2,M29,(IF(O30=2,M30,(IF(O27=2,M27,2.12)))))))</f>
        <v>Benjy Morris</v>
      </c>
      <c r="S19" s="20">
        <v>12</v>
      </c>
      <c r="T19" s="36">
        <v>2</v>
      </c>
      <c r="U19" s="80"/>
      <c r="V19" s="80"/>
      <c r="W19" s="80"/>
      <c r="X19" s="80"/>
      <c r="Y19" s="80"/>
    </row>
    <row r="20" spans="1:25" ht="18.75" x14ac:dyDescent="0.3">
      <c r="A20" s="85" t="s">
        <v>47</v>
      </c>
      <c r="B20" s="35">
        <v>12</v>
      </c>
      <c r="C20" s="83" t="s">
        <v>115</v>
      </c>
      <c r="D20" s="209" t="s">
        <v>194</v>
      </c>
      <c r="E20" s="63" t="s">
        <v>194</v>
      </c>
      <c r="F20" s="91"/>
      <c r="G20" s="80"/>
      <c r="H20" s="80"/>
      <c r="I20" s="214"/>
      <c r="J20" s="80"/>
      <c r="K20" s="91"/>
      <c r="L20" s="82" t="s">
        <v>46</v>
      </c>
      <c r="M20" s="43" t="str">
        <f>IF(E18=1,C18,(IF(E19=1,C19,(IF(E20=1,C20,(IF(E21=1,C21,1.3)))))))</f>
        <v>Ricky Marshall</v>
      </c>
      <c r="N20" s="20">
        <v>14.7</v>
      </c>
      <c r="O20" s="21">
        <v>2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8.75" x14ac:dyDescent="0.3">
      <c r="A21" s="93" t="s">
        <v>48</v>
      </c>
      <c r="B21" s="35">
        <v>17</v>
      </c>
      <c r="C21" s="83" t="s">
        <v>116</v>
      </c>
      <c r="D21" s="44">
        <v>6.2</v>
      </c>
      <c r="E21" s="35">
        <v>3</v>
      </c>
      <c r="F21" s="91"/>
      <c r="G21" s="79" t="s">
        <v>77</v>
      </c>
      <c r="J21" s="118">
        <v>8</v>
      </c>
      <c r="K21" s="91"/>
      <c r="L21" s="84" t="s">
        <v>36</v>
      </c>
      <c r="M21" s="44" t="s">
        <v>119</v>
      </c>
      <c r="N21" s="20">
        <v>17.5</v>
      </c>
      <c r="O21" s="35">
        <v>1</v>
      </c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ht="18.75" x14ac:dyDescent="0.3">
      <c r="F22"/>
      <c r="G22" s="82" t="s">
        <v>46</v>
      </c>
      <c r="H22" s="20" t="s">
        <v>116</v>
      </c>
      <c r="I22" s="20">
        <v>11.6</v>
      </c>
      <c r="J22" s="35">
        <v>1</v>
      </c>
      <c r="L22" s="85" t="s">
        <v>47</v>
      </c>
      <c r="M22" s="44" t="str">
        <f>IF(E30=2,C30,(IF(E31=2,C31,(IF(E32=2,C32,(IF(E33=2,C33,2.5)))))))</f>
        <v>Justin Lee</v>
      </c>
      <c r="N22" s="20">
        <v>14.57</v>
      </c>
      <c r="O22" s="35">
        <v>3</v>
      </c>
    </row>
    <row r="23" spans="1:25" ht="18.75" x14ac:dyDescent="0.3">
      <c r="A23" s="79" t="s">
        <v>76</v>
      </c>
      <c r="B23" s="79"/>
      <c r="C23" s="79"/>
      <c r="D23" s="96"/>
      <c r="E23" s="79">
        <v>4</v>
      </c>
      <c r="F23"/>
      <c r="G23" s="84" t="s">
        <v>36</v>
      </c>
      <c r="H23" s="31" t="str">
        <f>IF(E24=4,C24,(IF(E25=4,C25,(IF(E26=4,C26,(IF(E27=4,C27,4.4)))))))</f>
        <v>Kevin Short</v>
      </c>
      <c r="I23" s="20">
        <v>11.23</v>
      </c>
      <c r="J23" s="35">
        <v>2</v>
      </c>
      <c r="L23" s="86" t="s">
        <v>48</v>
      </c>
      <c r="M23" s="31" t="str">
        <f>IF(J24=2,H24,(IF(J22=2,H22,(IF(J23=2,H23,2.8)))))</f>
        <v>Kevin Short</v>
      </c>
      <c r="N23" s="20">
        <v>3.13</v>
      </c>
      <c r="O23" s="35">
        <v>4</v>
      </c>
    </row>
    <row r="24" spans="1:25" ht="18.75" x14ac:dyDescent="0.3">
      <c r="A24" s="82" t="s">
        <v>46</v>
      </c>
      <c r="B24" s="21">
        <v>5</v>
      </c>
      <c r="C24" s="83" t="s">
        <v>117</v>
      </c>
      <c r="D24" s="43">
        <v>7.26</v>
      </c>
      <c r="E24" s="21">
        <v>3</v>
      </c>
      <c r="F24"/>
      <c r="G24" s="92" t="s">
        <v>47</v>
      </c>
      <c r="H24" s="31" t="str">
        <f>IF(E30=4,C30,(IF(E31=4,C31,(IF(E32=4,C32,(IF(E33=4,C33,4.5)))))))</f>
        <v>Nick Brusic</v>
      </c>
      <c r="I24" s="20">
        <v>5.87</v>
      </c>
      <c r="J24" s="35">
        <v>3</v>
      </c>
      <c r="L24" s="80"/>
      <c r="M24" s="80"/>
      <c r="N24" s="214"/>
      <c r="O24" s="80"/>
    </row>
    <row r="25" spans="1:25" ht="18.75" x14ac:dyDescent="0.3">
      <c r="A25" s="84" t="s">
        <v>36</v>
      </c>
      <c r="B25" s="35">
        <v>10</v>
      </c>
      <c r="C25" s="83" t="s">
        <v>177</v>
      </c>
      <c r="D25" s="44">
        <v>6.63</v>
      </c>
      <c r="E25" s="35">
        <v>4</v>
      </c>
      <c r="F25"/>
      <c r="L25" s="80"/>
      <c r="M25" s="80"/>
      <c r="N25" s="214"/>
      <c r="O25" s="80"/>
    </row>
    <row r="26" spans="1:25" ht="18.75" x14ac:dyDescent="0.3">
      <c r="A26" s="85" t="s">
        <v>47</v>
      </c>
      <c r="B26" s="35">
        <v>11</v>
      </c>
      <c r="C26" s="83" t="s">
        <v>118</v>
      </c>
      <c r="D26" s="44">
        <v>8.6999999999999993</v>
      </c>
      <c r="E26" s="35">
        <v>2</v>
      </c>
      <c r="F26"/>
      <c r="L26" s="79" t="s">
        <v>95</v>
      </c>
      <c r="M26" s="79" t="s">
        <v>75</v>
      </c>
      <c r="N26" s="96"/>
      <c r="O26" s="79">
        <v>12</v>
      </c>
    </row>
    <row r="27" spans="1:25" ht="18.75" x14ac:dyDescent="0.3">
      <c r="A27" s="93" t="s">
        <v>48</v>
      </c>
      <c r="B27" s="35">
        <v>16</v>
      </c>
      <c r="C27" s="83" t="s">
        <v>119</v>
      </c>
      <c r="D27" s="44">
        <v>13.96</v>
      </c>
      <c r="E27" s="35">
        <v>1</v>
      </c>
      <c r="F27"/>
      <c r="L27" s="82" t="s">
        <v>46</v>
      </c>
      <c r="M27" s="43" t="str">
        <f>IF(E18=2,C18,(IF(E19=2,C19,(IF(E20=2,C20,(IF(E21=2,C21,2.3)))))))</f>
        <v>Benjy Morris</v>
      </c>
      <c r="N27" s="20">
        <v>10.73</v>
      </c>
      <c r="O27" s="21">
        <v>2</v>
      </c>
    </row>
    <row r="28" spans="1:25" ht="18.75" x14ac:dyDescent="0.3">
      <c r="F28"/>
      <c r="L28" s="84" t="s">
        <v>36</v>
      </c>
      <c r="M28" s="44" t="s">
        <v>118</v>
      </c>
      <c r="N28" s="20">
        <v>6.73</v>
      </c>
      <c r="O28" s="35">
        <v>4</v>
      </c>
    </row>
    <row r="29" spans="1:25" ht="18.75" x14ac:dyDescent="0.3">
      <c r="A29" s="79" t="s">
        <v>78</v>
      </c>
      <c r="B29" s="79"/>
      <c r="C29" s="79"/>
      <c r="D29" s="96"/>
      <c r="E29" s="79">
        <v>5</v>
      </c>
      <c r="F29"/>
      <c r="L29" s="85" t="s">
        <v>47</v>
      </c>
      <c r="M29" s="44" t="str">
        <f>IF(E30=1,C30,(IF(E31=1,C31,(IF(E32=1,C32,(IF(E33=1,C33,1.5)))))))</f>
        <v>Cameron Sharpe</v>
      </c>
      <c r="N29" s="20">
        <v>11.56</v>
      </c>
      <c r="O29" s="35">
        <v>1</v>
      </c>
    </row>
    <row r="30" spans="1:25" ht="18.75" x14ac:dyDescent="0.3">
      <c r="A30" s="82" t="s">
        <v>46</v>
      </c>
      <c r="B30" s="21">
        <v>2</v>
      </c>
      <c r="C30" s="83" t="s">
        <v>103</v>
      </c>
      <c r="D30" s="43">
        <v>14.5</v>
      </c>
      <c r="E30" s="21">
        <v>1</v>
      </c>
      <c r="F30"/>
      <c r="L30" s="86" t="s">
        <v>48</v>
      </c>
      <c r="M30" s="31" t="str">
        <f>IF(J22=1,H22,(IF(J23=1,H23,(IF(J24=1,H24,1.8)))))</f>
        <v>Karl Lavis</v>
      </c>
      <c r="N30" s="20">
        <v>7.97</v>
      </c>
      <c r="O30" s="35">
        <v>3</v>
      </c>
    </row>
    <row r="31" spans="1:25" ht="18.75" x14ac:dyDescent="0.3">
      <c r="A31" s="84" t="s">
        <v>36</v>
      </c>
      <c r="B31" s="35">
        <v>7</v>
      </c>
      <c r="C31" s="83" t="s">
        <v>120</v>
      </c>
      <c r="D31" s="44">
        <v>8.56</v>
      </c>
      <c r="E31" s="35">
        <v>3</v>
      </c>
      <c r="F31"/>
      <c r="H31" s="55"/>
    </row>
    <row r="32" spans="1:25" ht="18.75" x14ac:dyDescent="0.3">
      <c r="A32" s="85" t="s">
        <v>47</v>
      </c>
      <c r="B32" s="35">
        <v>14</v>
      </c>
      <c r="C32" s="83" t="s">
        <v>200</v>
      </c>
      <c r="D32" s="44">
        <v>10.07</v>
      </c>
      <c r="E32" s="35">
        <v>2</v>
      </c>
      <c r="F32"/>
      <c r="H32" s="56"/>
    </row>
    <row r="33" spans="1:8" ht="18.75" x14ac:dyDescent="0.3">
      <c r="A33" s="93" t="s">
        <v>48</v>
      </c>
      <c r="B33" s="35">
        <v>19</v>
      </c>
      <c r="C33" s="83" t="s">
        <v>121</v>
      </c>
      <c r="D33" s="44">
        <v>6.1</v>
      </c>
      <c r="E33" s="35">
        <v>4</v>
      </c>
      <c r="F33"/>
      <c r="H33" s="55"/>
    </row>
    <row r="34" spans="1:8" x14ac:dyDescent="0.2">
      <c r="F34"/>
      <c r="H34" s="55"/>
    </row>
    <row r="35" spans="1:8" ht="19" x14ac:dyDescent="0.25">
      <c r="F35"/>
      <c r="H35" s="56"/>
    </row>
  </sheetData>
  <phoneticPr fontId="34" type="noConversion"/>
  <pageMargins left="0.74803149606299213" right="0.74803149606299213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9"/>
  <sheetViews>
    <sheetView topLeftCell="I5" zoomScale="70" zoomScaleNormal="70" workbookViewId="0">
      <selection activeCell="Z11" sqref="Z11"/>
    </sheetView>
  </sheetViews>
  <sheetFormatPr baseColWidth="10" defaultColWidth="8.83203125" defaultRowHeight="16" x14ac:dyDescent="0.2"/>
  <cols>
    <col min="1" max="1" width="9.6640625" customWidth="1"/>
    <col min="2" max="2" width="4" hidden="1" customWidth="1"/>
    <col min="3" max="3" width="22.5" customWidth="1"/>
    <col min="4" max="4" width="17.1640625" customWidth="1"/>
    <col min="5" max="5" width="7.33203125" customWidth="1"/>
    <col min="6" max="6" width="4.5" style="29" customWidth="1"/>
    <col min="7" max="7" width="15.5" customWidth="1"/>
    <col min="8" max="8" width="23.1640625" customWidth="1"/>
    <col min="9" max="9" width="15" style="180" customWidth="1"/>
    <col min="10" max="10" width="7.1640625" customWidth="1"/>
    <col min="13" max="13" width="26" customWidth="1"/>
    <col min="14" max="14" width="17" style="180" customWidth="1"/>
    <col min="15" max="15" width="9.1640625" customWidth="1"/>
    <col min="18" max="18" width="24" customWidth="1"/>
    <col min="19" max="19" width="15.1640625" customWidth="1"/>
    <col min="20" max="20" width="8" customWidth="1"/>
    <col min="23" max="23" width="26.1640625" customWidth="1"/>
    <col min="24" max="24" width="16.6640625" customWidth="1"/>
    <col min="25" max="25" width="7.5" customWidth="1"/>
    <col min="28" max="28" width="22.1640625" customWidth="1"/>
    <col min="29" max="29" width="8.1640625" customWidth="1"/>
    <col min="30" max="30" width="6.1640625" customWidth="1"/>
  </cols>
  <sheetData>
    <row r="1" spans="1:34" ht="21" x14ac:dyDescent="0.35">
      <c r="A1" s="15" t="s">
        <v>41</v>
      </c>
      <c r="B1" s="15"/>
    </row>
    <row r="3" spans="1:34" s="38" customFormat="1" ht="18.75" x14ac:dyDescent="0.3">
      <c r="A3"/>
      <c r="B3"/>
      <c r="C3"/>
      <c r="D3"/>
      <c r="E3"/>
      <c r="F3"/>
      <c r="G3"/>
      <c r="H3"/>
      <c r="I3" s="180"/>
      <c r="J3"/>
      <c r="K3"/>
      <c r="L3"/>
      <c r="M3"/>
      <c r="N3" s="180"/>
      <c r="O3"/>
      <c r="P3"/>
      <c r="Q3"/>
      <c r="R3"/>
      <c r="S3"/>
      <c r="T3"/>
      <c r="U3"/>
      <c r="V3"/>
      <c r="W3"/>
      <c r="X3"/>
      <c r="Y3"/>
      <c r="Z3"/>
      <c r="AA3"/>
      <c r="AB3" s="17"/>
      <c r="AC3" s="17"/>
      <c r="AD3"/>
      <c r="AE3"/>
      <c r="AF3"/>
      <c r="AG3"/>
      <c r="AH3"/>
    </row>
    <row r="4" spans="1:34" s="39" customFormat="1" ht="18.75" x14ac:dyDescent="0.3">
      <c r="A4" s="79" t="s">
        <v>45</v>
      </c>
      <c r="B4" s="80"/>
      <c r="C4" s="80"/>
      <c r="D4" s="117" t="s">
        <v>80</v>
      </c>
      <c r="E4" s="117" t="s">
        <v>81</v>
      </c>
      <c r="F4" s="79"/>
      <c r="G4" s="80"/>
      <c r="H4" s="80"/>
      <c r="I4" s="214"/>
      <c r="J4" s="80"/>
      <c r="K4" s="80"/>
      <c r="L4" s="79" t="s">
        <v>27</v>
      </c>
      <c r="M4" s="80"/>
      <c r="N4" s="117" t="s">
        <v>80</v>
      </c>
      <c r="O4" s="117" t="s">
        <v>81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/>
      <c r="AA4"/>
      <c r="AB4" s="16"/>
      <c r="AC4" s="16"/>
      <c r="AD4"/>
      <c r="AE4"/>
      <c r="AF4"/>
      <c r="AG4"/>
      <c r="AH4"/>
    </row>
    <row r="5" spans="1:34" s="38" customFormat="1" ht="18.75" x14ac:dyDescent="0.3">
      <c r="A5" s="79" t="s">
        <v>67</v>
      </c>
      <c r="B5" s="79"/>
      <c r="C5" s="79"/>
      <c r="D5" s="79"/>
      <c r="E5" s="79">
        <v>1</v>
      </c>
      <c r="F5" s="79"/>
      <c r="G5" s="80"/>
      <c r="H5" s="80"/>
      <c r="I5" s="214"/>
      <c r="J5" s="80"/>
      <c r="K5" s="80"/>
      <c r="L5" s="79" t="s">
        <v>92</v>
      </c>
      <c r="M5" s="79" t="s">
        <v>75</v>
      </c>
      <c r="N5" s="96"/>
      <c r="O5" s="79">
        <v>12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/>
      <c r="AA5"/>
      <c r="AB5" s="17"/>
      <c r="AC5" s="17"/>
      <c r="AD5"/>
      <c r="AE5"/>
      <c r="AF5"/>
      <c r="AG5"/>
      <c r="AH5"/>
    </row>
    <row r="6" spans="1:34" s="38" customFormat="1" ht="18.75" x14ac:dyDescent="0.3">
      <c r="A6" s="82" t="s">
        <v>46</v>
      </c>
      <c r="B6" s="35">
        <v>1</v>
      </c>
      <c r="C6" s="83" t="s">
        <v>100</v>
      </c>
      <c r="D6" s="18">
        <v>11.63</v>
      </c>
      <c r="E6" s="18">
        <v>1</v>
      </c>
      <c r="F6" s="91"/>
      <c r="G6" s="80"/>
      <c r="H6" s="80"/>
      <c r="I6" s="214"/>
      <c r="J6" s="80"/>
      <c r="K6" s="91"/>
      <c r="L6" s="82" t="s">
        <v>46</v>
      </c>
      <c r="M6" s="43" t="str">
        <f>IF(E6=1,C6,(IF(E7=1,C7,(IF(E8=1,C8,(IF(E9=1,C9,1.1)))))))</f>
        <v>Scott Schindler</v>
      </c>
      <c r="N6" s="20">
        <v>7.95</v>
      </c>
      <c r="O6" s="21">
        <v>4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/>
      <c r="AA6"/>
      <c r="AB6" s="17"/>
      <c r="AC6" s="17"/>
      <c r="AD6"/>
      <c r="AE6"/>
      <c r="AF6"/>
      <c r="AG6"/>
      <c r="AH6"/>
    </row>
    <row r="7" spans="1:34" s="38" customFormat="1" ht="18.75" x14ac:dyDescent="0.3">
      <c r="A7" s="84" t="s">
        <v>36</v>
      </c>
      <c r="B7" s="40">
        <v>12</v>
      </c>
      <c r="C7" s="83" t="s">
        <v>170</v>
      </c>
      <c r="D7" s="41">
        <v>8.9</v>
      </c>
      <c r="E7" s="41">
        <v>2</v>
      </c>
      <c r="F7" s="91"/>
      <c r="G7" s="80"/>
      <c r="H7" s="80"/>
      <c r="I7" s="214"/>
      <c r="J7" s="80"/>
      <c r="K7" s="91"/>
      <c r="L7" s="84" t="s">
        <v>36</v>
      </c>
      <c r="M7" s="44" t="str">
        <f>IF(E12=2,C12,(IF(E13=2,C13,(IF(E14=2,C14,(IF(E15=2,C15,2.2)))))))</f>
        <v>Carl Musker</v>
      </c>
      <c r="N7" s="20">
        <v>8.23</v>
      </c>
      <c r="O7" s="35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/>
      <c r="AA7"/>
      <c r="AB7" s="17"/>
      <c r="AC7" s="17"/>
      <c r="AD7"/>
      <c r="AE7"/>
      <c r="AF7"/>
      <c r="AG7"/>
      <c r="AH7"/>
    </row>
    <row r="8" spans="1:34" s="38" customFormat="1" ht="18.75" x14ac:dyDescent="0.3">
      <c r="A8" s="85" t="s">
        <v>47</v>
      </c>
      <c r="B8" s="35">
        <v>13</v>
      </c>
      <c r="C8" s="83" t="s">
        <v>122</v>
      </c>
      <c r="D8" s="18">
        <v>7.53</v>
      </c>
      <c r="E8" s="18">
        <v>4</v>
      </c>
      <c r="F8" s="91"/>
      <c r="G8" s="79" t="s">
        <v>68</v>
      </c>
      <c r="H8" s="80"/>
      <c r="I8" s="117" t="s">
        <v>80</v>
      </c>
      <c r="J8" s="117" t="s">
        <v>81</v>
      </c>
      <c r="K8" s="91"/>
      <c r="L8" s="85" t="s">
        <v>47</v>
      </c>
      <c r="M8" s="43" t="str">
        <f>IF(E18=1,C18,(IF(E19=1,C19,(IF(E20=1,C20,(IF(E21=1,C21,1.3)))))))</f>
        <v>Ricky Marshall</v>
      </c>
      <c r="N8" s="20">
        <v>15.56</v>
      </c>
      <c r="O8" s="35">
        <v>1</v>
      </c>
      <c r="P8" s="80"/>
      <c r="Q8" s="79" t="s">
        <v>72</v>
      </c>
      <c r="R8"/>
      <c r="S8" s="117" t="s">
        <v>80</v>
      </c>
      <c r="T8" s="117" t="s">
        <v>81</v>
      </c>
      <c r="U8" s="80"/>
      <c r="V8" s="80"/>
      <c r="W8" s="80"/>
      <c r="X8" s="80"/>
      <c r="Y8" s="80"/>
      <c r="Z8"/>
      <c r="AA8"/>
      <c r="AB8" s="17"/>
      <c r="AC8" s="17"/>
      <c r="AD8"/>
      <c r="AE8"/>
      <c r="AF8"/>
      <c r="AG8"/>
      <c r="AH8"/>
    </row>
    <row r="9" spans="1:34" s="38" customFormat="1" ht="18.75" x14ac:dyDescent="0.3">
      <c r="A9" s="86" t="s">
        <v>48</v>
      </c>
      <c r="B9" s="36">
        <v>24</v>
      </c>
      <c r="C9" s="207" t="s">
        <v>142</v>
      </c>
      <c r="D9" s="19">
        <v>8.4700000000000006</v>
      </c>
      <c r="E9" s="19">
        <v>3</v>
      </c>
      <c r="F9" s="91"/>
      <c r="G9" s="79" t="s">
        <v>69</v>
      </c>
      <c r="H9" s="79"/>
      <c r="I9" s="96"/>
      <c r="J9" s="79">
        <v>7</v>
      </c>
      <c r="K9" s="46"/>
      <c r="L9" s="86" t="s">
        <v>48</v>
      </c>
      <c r="M9" s="121" t="str">
        <f>IF(J30=2,H30,(IF(J31=2,H31,(IF(J32=2,H32,2.1)))))</f>
        <v>Kieran White</v>
      </c>
      <c r="N9" s="20">
        <v>13.1</v>
      </c>
      <c r="O9" s="35">
        <v>2</v>
      </c>
      <c r="P9" s="79"/>
      <c r="Q9" s="79" t="s">
        <v>69</v>
      </c>
      <c r="R9" s="79"/>
      <c r="S9" s="79"/>
      <c r="T9" s="79">
        <v>16</v>
      </c>
      <c r="U9" s="80"/>
      <c r="V9" s="80"/>
      <c r="W9" s="80"/>
      <c r="X9" s="80"/>
      <c r="Y9" s="80"/>
      <c r="Z9"/>
      <c r="AA9"/>
      <c r="AB9" s="17"/>
      <c r="AC9" s="17"/>
      <c r="AD9"/>
      <c r="AE9"/>
      <c r="AF9"/>
      <c r="AG9"/>
      <c r="AH9"/>
    </row>
    <row r="10" spans="1:34" s="38" customFormat="1" ht="18.75" x14ac:dyDescent="0.3">
      <c r="A10" s="91"/>
      <c r="B10" s="91"/>
      <c r="C10" s="91"/>
      <c r="D10" s="91"/>
      <c r="E10" s="91"/>
      <c r="F10" s="91"/>
      <c r="G10" s="82" t="s">
        <v>46</v>
      </c>
      <c r="H10" s="20" t="str">
        <f>IF(E6=3,C6,(IF(E7=3,C7,(IF(E8=3,C8,(IF(E9=3,C9,3.1)))))))</f>
        <v>Dean Bradley</v>
      </c>
      <c r="I10" s="88">
        <v>7</v>
      </c>
      <c r="J10" s="18">
        <v>3</v>
      </c>
      <c r="K10" s="91"/>
      <c r="L10" s="80"/>
      <c r="M10" s="80"/>
      <c r="N10" s="214"/>
      <c r="O10" s="80"/>
      <c r="P10" s="80"/>
      <c r="Q10" s="82" t="s">
        <v>46</v>
      </c>
      <c r="R10" s="20" t="str">
        <f>IF(O6=1,M6,(IF(O7=1,M7,(IF(O8=1,M8,(IF(O9=1,M9,1.12)))))))</f>
        <v>Ricky Marshall</v>
      </c>
      <c r="S10" s="88">
        <v>9.9</v>
      </c>
      <c r="T10" s="18">
        <v>3</v>
      </c>
      <c r="U10" s="80"/>
      <c r="V10" s="80"/>
      <c r="W10" s="80"/>
      <c r="X10" s="80"/>
      <c r="Y10" s="80"/>
      <c r="Z10"/>
      <c r="AA10"/>
      <c r="AB10" s="17"/>
      <c r="AC10" s="17"/>
      <c r="AD10"/>
      <c r="AE10"/>
      <c r="AF10"/>
      <c r="AG10"/>
      <c r="AH10"/>
    </row>
    <row r="11" spans="1:34" s="38" customFormat="1" ht="18.75" x14ac:dyDescent="0.3">
      <c r="A11" s="79" t="s">
        <v>70</v>
      </c>
      <c r="B11" s="79"/>
      <c r="C11" s="79"/>
      <c r="D11" s="79"/>
      <c r="E11" s="79">
        <v>2</v>
      </c>
      <c r="F11" s="80"/>
      <c r="G11" s="84" t="s">
        <v>36</v>
      </c>
      <c r="H11" s="20" t="str">
        <f>IF(E12=3,C12,(IF(E13=3,C13,(IF(E14=3,C14,(IF(E15=3,C15,3.2)))))))</f>
        <v>David Gander</v>
      </c>
      <c r="I11" s="69">
        <v>6.2</v>
      </c>
      <c r="J11" s="41">
        <v>4</v>
      </c>
      <c r="K11" s="80"/>
      <c r="L11" s="80"/>
      <c r="M11" s="80"/>
      <c r="N11" s="214"/>
      <c r="O11" s="80"/>
      <c r="P11" s="80"/>
      <c r="Q11" s="84" t="s">
        <v>36</v>
      </c>
      <c r="R11" s="20" t="str">
        <f>IF(O7=2,M7,(IF(O8=2,M8,(IF(O9=2,M9,(IF(O6=2,M6,2.12)))))))</f>
        <v>Kieran White</v>
      </c>
      <c r="S11" s="69">
        <v>7.17</v>
      </c>
      <c r="T11" s="41">
        <v>4</v>
      </c>
      <c r="U11" s="80"/>
      <c r="V11" s="70" t="s">
        <v>17</v>
      </c>
      <c r="W11" s="95"/>
      <c r="X11" s="117" t="s">
        <v>80</v>
      </c>
      <c r="Y11" s="117" t="s">
        <v>81</v>
      </c>
      <c r="Z11"/>
      <c r="AA11"/>
      <c r="AB11" s="17"/>
      <c r="AC11" s="17"/>
      <c r="AD11"/>
      <c r="AE11"/>
      <c r="AF11"/>
      <c r="AG11"/>
      <c r="AH11"/>
    </row>
    <row r="12" spans="1:34" s="38" customFormat="1" ht="18.75" x14ac:dyDescent="0.3">
      <c r="A12" s="82" t="s">
        <v>46</v>
      </c>
      <c r="B12" s="21">
        <v>6</v>
      </c>
      <c r="C12" s="83" t="s">
        <v>123</v>
      </c>
      <c r="D12" s="71">
        <v>12.77</v>
      </c>
      <c r="E12" s="21">
        <v>2</v>
      </c>
      <c r="F12" s="91"/>
      <c r="G12" s="92" t="s">
        <v>47</v>
      </c>
      <c r="H12" s="31" t="str">
        <f>IF(E18=4,C18,(IF(E19=4,C19,(IF(E20=4,C20,(IF(E21=4,C21,4.3)))))))</f>
        <v>Mark Morgenthal</v>
      </c>
      <c r="I12" s="20">
        <v>7.83</v>
      </c>
      <c r="J12" s="35">
        <v>2</v>
      </c>
      <c r="K12" s="91"/>
      <c r="L12" s="79" t="s">
        <v>93</v>
      </c>
      <c r="M12" s="79" t="s">
        <v>75</v>
      </c>
      <c r="N12" s="96"/>
      <c r="O12" s="79">
        <v>13</v>
      </c>
      <c r="P12" s="80"/>
      <c r="Q12" s="85" t="s">
        <v>47</v>
      </c>
      <c r="R12" s="119" t="str">
        <f>IF(O13=1,M13,(IF(O14=1,M14,(IF(O15=1,M15,(IF(O16=1,M16,1.13)))))))</f>
        <v>Brett Bannister</v>
      </c>
      <c r="S12" s="88">
        <v>12.43</v>
      </c>
      <c r="T12" s="18">
        <v>1</v>
      </c>
      <c r="U12" s="80"/>
      <c r="V12" s="70"/>
      <c r="W12" s="70"/>
      <c r="X12" s="70"/>
      <c r="Y12" s="79">
        <v>18</v>
      </c>
      <c r="Z12"/>
      <c r="AA12"/>
      <c r="AB12" s="17"/>
      <c r="AC12" s="17"/>
      <c r="AD12"/>
      <c r="AE12"/>
      <c r="AF12"/>
      <c r="AG12"/>
      <c r="AH12"/>
    </row>
    <row r="13" spans="1:34" s="38" customFormat="1" ht="18.75" x14ac:dyDescent="0.3">
      <c r="A13" s="84" t="s">
        <v>36</v>
      </c>
      <c r="B13" s="35">
        <v>7</v>
      </c>
      <c r="C13" s="83" t="s">
        <v>124</v>
      </c>
      <c r="D13" s="72">
        <v>14.54</v>
      </c>
      <c r="E13" s="35">
        <v>1</v>
      </c>
      <c r="F13" s="91"/>
      <c r="G13" s="86" t="s">
        <v>48</v>
      </c>
      <c r="H13" s="31" t="str">
        <f>IF(E24=4,C24,(IF(E25=4,C25,(IF(E26=4,C26,(IF(E27=4,C27,4.4)))))))</f>
        <v>Kieran White</v>
      </c>
      <c r="I13" s="20">
        <v>17.170000000000002</v>
      </c>
      <c r="J13" s="35">
        <v>1</v>
      </c>
      <c r="K13" s="91"/>
      <c r="L13" s="82" t="s">
        <v>46</v>
      </c>
      <c r="M13" s="43" t="str">
        <f>IF(E6=2,C6,(IF(E7=2,C7,(IF(E8=2,C8,(IF(E9=2,C9,2.1)))))))</f>
        <v>Sandro Neto</v>
      </c>
      <c r="N13" s="20">
        <v>7.77</v>
      </c>
      <c r="O13" s="21">
        <v>3</v>
      </c>
      <c r="P13" s="80"/>
      <c r="Q13" s="86" t="s">
        <v>48</v>
      </c>
      <c r="R13" s="119" t="str">
        <f>IF(O14=2,M14,(IF(O15=2,M15,(IF(O16=2,M16,(IF(O13=2,M13,2.13)))))))</f>
        <v>Marcus Davidson</v>
      </c>
      <c r="S13" s="89">
        <v>12.17</v>
      </c>
      <c r="T13" s="19">
        <v>2</v>
      </c>
      <c r="U13" s="80"/>
      <c r="V13" s="82" t="s">
        <v>46</v>
      </c>
      <c r="W13" s="20" t="str">
        <f>IF(T10=1,R10,(IF(T11=1,R11,(IF(T12=1,R12,(IF(T13=1,R13,1.16)))))))</f>
        <v>Brett Bannister</v>
      </c>
      <c r="X13" s="74">
        <v>12.77</v>
      </c>
      <c r="Y13" s="73">
        <v>1</v>
      </c>
      <c r="Z13"/>
      <c r="AA13"/>
      <c r="AB13" s="17"/>
      <c r="AC13" s="17"/>
      <c r="AD13"/>
      <c r="AE13"/>
      <c r="AF13"/>
      <c r="AG13"/>
      <c r="AH13"/>
    </row>
    <row r="14" spans="1:34" s="38" customFormat="1" ht="18.75" x14ac:dyDescent="0.3">
      <c r="A14" s="85" t="s">
        <v>47</v>
      </c>
      <c r="B14" s="35">
        <v>18</v>
      </c>
      <c r="C14" s="83" t="s">
        <v>178</v>
      </c>
      <c r="D14" s="72">
        <v>5.57</v>
      </c>
      <c r="E14" s="35">
        <v>3</v>
      </c>
      <c r="F14" s="91"/>
      <c r="G14" s="91"/>
      <c r="H14" s="48"/>
      <c r="I14" s="48"/>
      <c r="J14" s="91"/>
      <c r="K14" s="91"/>
      <c r="L14" s="84" t="s">
        <v>36</v>
      </c>
      <c r="M14" s="44" t="str">
        <f>IF(E12=1,C12,(IF(E13=1,C13,(IF(E14=1,C14,(IF(E15=1,C14,1.2)))))))</f>
        <v>Marcus Davidson</v>
      </c>
      <c r="N14" s="20">
        <v>11.73</v>
      </c>
      <c r="O14" s="35">
        <v>2</v>
      </c>
      <c r="P14" s="80"/>
      <c r="Q14" s="91"/>
      <c r="R14" s="48"/>
      <c r="S14" s="48"/>
      <c r="T14" s="91"/>
      <c r="U14" s="80"/>
      <c r="V14" s="84" t="s">
        <v>36</v>
      </c>
      <c r="W14" s="20" t="str">
        <f>IF(T10=2,R10,(IF(T11=2,R11,(IF(T12=2,R12,(IF(T13=2,R13,2.16)))))))</f>
        <v>Marcus Davidson</v>
      </c>
      <c r="X14" s="20">
        <v>12.1</v>
      </c>
      <c r="Y14" s="83">
        <v>2</v>
      </c>
      <c r="Z14"/>
      <c r="AA14"/>
      <c r="AB14" s="17"/>
      <c r="AC14" s="17"/>
      <c r="AD14"/>
      <c r="AE14"/>
      <c r="AF14"/>
      <c r="AG14"/>
      <c r="AH14"/>
    </row>
    <row r="15" spans="1:34" s="38" customFormat="1" ht="18.75" x14ac:dyDescent="0.3">
      <c r="A15" s="86" t="s">
        <v>48</v>
      </c>
      <c r="B15" s="36">
        <v>19</v>
      </c>
      <c r="C15" s="83" t="s">
        <v>125</v>
      </c>
      <c r="D15" s="75">
        <v>5.33</v>
      </c>
      <c r="E15" s="36">
        <v>4</v>
      </c>
      <c r="F15" s="91"/>
      <c r="G15" s="79" t="s">
        <v>74</v>
      </c>
      <c r="H15" s="79"/>
      <c r="I15" s="96"/>
      <c r="J15" s="79">
        <v>8</v>
      </c>
      <c r="K15" s="80"/>
      <c r="L15" s="85" t="s">
        <v>47</v>
      </c>
      <c r="M15" s="43" t="s">
        <v>128</v>
      </c>
      <c r="N15" s="20">
        <v>6.57</v>
      </c>
      <c r="O15" s="35">
        <v>4</v>
      </c>
      <c r="P15" s="80"/>
      <c r="Q15" s="79" t="s">
        <v>74</v>
      </c>
      <c r="R15" s="96"/>
      <c r="S15" s="96"/>
      <c r="T15" s="79">
        <v>17</v>
      </c>
      <c r="U15" s="80"/>
      <c r="V15" s="85" t="s">
        <v>47</v>
      </c>
      <c r="W15" s="20" t="str">
        <f>IF(T16=1,R16,(IF(T17=1,R17,(IF(T18=1,R18,(IF(T19=1,R19,1.17)))))))</f>
        <v>Michael Van Opstal</v>
      </c>
      <c r="X15" s="37">
        <v>6.47</v>
      </c>
      <c r="Y15" s="76">
        <v>4</v>
      </c>
      <c r="Z15"/>
      <c r="AA15"/>
      <c r="AB15" s="17"/>
      <c r="AC15" s="17"/>
      <c r="AD15"/>
      <c r="AE15"/>
      <c r="AF15"/>
      <c r="AG15"/>
      <c r="AH15"/>
    </row>
    <row r="16" spans="1:34" s="38" customFormat="1" ht="18.75" x14ac:dyDescent="0.3">
      <c r="A16" s="91"/>
      <c r="B16" s="91"/>
      <c r="C16" s="91"/>
      <c r="D16" s="91"/>
      <c r="E16" s="91"/>
      <c r="F16" s="91"/>
      <c r="G16" s="82" t="s">
        <v>46</v>
      </c>
      <c r="H16" s="20" t="str">
        <f>IF(E6=4,C6,(IF(E7=4,C7,(IF(E8=4,C8,(IF(E9=4,C9,4.1)))))))</f>
        <v>Col Bernasconi</v>
      </c>
      <c r="I16" s="20">
        <v>16.5</v>
      </c>
      <c r="J16" s="35">
        <v>1</v>
      </c>
      <c r="K16" s="80"/>
      <c r="L16" s="86" t="s">
        <v>48</v>
      </c>
      <c r="M16" s="121" t="str">
        <f>IF(J30=1,H30,(IF(J31=1,H31,(IF(J32=1,H32,1.1)))))</f>
        <v>Brett Bannister</v>
      </c>
      <c r="N16" s="20">
        <v>12.83</v>
      </c>
      <c r="O16" s="35">
        <v>1</v>
      </c>
      <c r="P16" s="80"/>
      <c r="Q16" s="82" t="s">
        <v>46</v>
      </c>
      <c r="R16" s="43" t="str">
        <f>IF(O20=1,M20,(IF(O21=1,M21,(IF(O22=1,M22,(IF(O23=1,M23,1.14)))))))</f>
        <v>David Wood</v>
      </c>
      <c r="S16" s="20">
        <v>10.74</v>
      </c>
      <c r="T16" s="21">
        <v>3</v>
      </c>
      <c r="U16" s="80"/>
      <c r="V16" s="86" t="s">
        <v>48</v>
      </c>
      <c r="W16" s="20" t="str">
        <f>IF(T17=2,R17,(IF(T18=2,R18,(IF(T19=2,R19,(IF(T16=1,R16,2.17)))))))</f>
        <v>Luke Howarth</v>
      </c>
      <c r="X16" s="37">
        <v>11.34</v>
      </c>
      <c r="Y16" s="76">
        <v>3</v>
      </c>
      <c r="Z16"/>
      <c r="AA16"/>
      <c r="AB16" s="17"/>
      <c r="AC16" s="17"/>
      <c r="AD16"/>
      <c r="AE16"/>
      <c r="AF16"/>
      <c r="AG16"/>
      <c r="AH16"/>
    </row>
    <row r="17" spans="1:34" s="38" customFormat="1" ht="18.75" x14ac:dyDescent="0.3">
      <c r="A17" s="79" t="s">
        <v>73</v>
      </c>
      <c r="B17" s="79"/>
      <c r="C17" s="79"/>
      <c r="D17" s="79"/>
      <c r="E17" s="79">
        <v>3</v>
      </c>
      <c r="F17" s="80"/>
      <c r="G17" s="84" t="s">
        <v>36</v>
      </c>
      <c r="H17" s="120" t="str">
        <f>IF(E12=4,C12,(IF(E13=4,C13,(IF(E14=4,C14,(IF(E15=4,C15,4.2)))))))</f>
        <v>Antthony Ellison</v>
      </c>
      <c r="I17" s="215" t="s">
        <v>194</v>
      </c>
      <c r="J17" s="63" t="s">
        <v>194</v>
      </c>
      <c r="K17" s="80"/>
      <c r="L17" s="95"/>
      <c r="M17" s="95"/>
      <c r="N17" s="218"/>
      <c r="O17" s="95"/>
      <c r="P17" s="80"/>
      <c r="Q17" s="84" t="s">
        <v>36</v>
      </c>
      <c r="R17" s="43" t="str">
        <f>IF(O21=2,M21,(IF(O22=2,M22,(IF(O23=2,M23,(IF(O20=2,M20,2.14)))))))</f>
        <v>Col Bernasconi</v>
      </c>
      <c r="S17" s="20">
        <v>7.67</v>
      </c>
      <c r="T17" s="35">
        <v>4</v>
      </c>
      <c r="U17" s="80"/>
      <c r="V17" s="95"/>
      <c r="W17" s="95"/>
      <c r="X17" s="95"/>
      <c r="Y17" s="95"/>
      <c r="Z17"/>
      <c r="AA17"/>
      <c r="AB17" s="17"/>
      <c r="AC17" s="17"/>
      <c r="AD17"/>
      <c r="AE17"/>
      <c r="AF17"/>
      <c r="AG17"/>
      <c r="AH17"/>
    </row>
    <row r="18" spans="1:34" s="38" customFormat="1" ht="18.75" x14ac:dyDescent="0.3">
      <c r="A18" s="82" t="s">
        <v>46</v>
      </c>
      <c r="B18" s="21">
        <v>4</v>
      </c>
      <c r="C18" s="83" t="s">
        <v>113</v>
      </c>
      <c r="D18" s="71">
        <v>15.5</v>
      </c>
      <c r="E18" s="21">
        <v>1</v>
      </c>
      <c r="F18" s="91"/>
      <c r="G18" s="92" t="s">
        <v>47</v>
      </c>
      <c r="H18" s="31" t="str">
        <f>IF(E33=3,C33,(IF(E30=3,C30,(IF(E31=3,C31,(IF(E32=3,C32,3.5)))))))</f>
        <v>Andrew Symington</v>
      </c>
      <c r="I18" s="20">
        <v>10.16</v>
      </c>
      <c r="J18" s="35">
        <v>2</v>
      </c>
      <c r="K18" s="80"/>
      <c r="L18" s="79"/>
      <c r="M18" s="80"/>
      <c r="N18" s="214"/>
      <c r="O18" s="80"/>
      <c r="P18" s="80"/>
      <c r="Q18" s="85" t="s">
        <v>47</v>
      </c>
      <c r="R18" s="44" t="str">
        <f>IF(O27=1,M27,(IF(O28=1,M28,(IF(O29=1,M29,(IF(O30=1,M30,1.15)))))))</f>
        <v>Luke Howarth</v>
      </c>
      <c r="S18" s="20">
        <v>12.07</v>
      </c>
      <c r="T18" s="35">
        <v>2</v>
      </c>
      <c r="U18" s="80"/>
      <c r="V18" s="80"/>
      <c r="W18" s="80"/>
      <c r="X18" s="80"/>
      <c r="Y18" s="80"/>
      <c r="Z18"/>
      <c r="AA18"/>
      <c r="AB18" s="17"/>
      <c r="AC18" s="17"/>
      <c r="AD18"/>
      <c r="AE18"/>
      <c r="AF18"/>
      <c r="AG18"/>
      <c r="AH18"/>
    </row>
    <row r="19" spans="1:34" s="38" customFormat="1" ht="18.75" x14ac:dyDescent="0.3">
      <c r="A19" s="84" t="s">
        <v>36</v>
      </c>
      <c r="B19" s="35">
        <v>9</v>
      </c>
      <c r="C19" s="83" t="s">
        <v>126</v>
      </c>
      <c r="D19" s="72">
        <v>6.23</v>
      </c>
      <c r="E19" s="35">
        <v>4</v>
      </c>
      <c r="F19" s="91"/>
      <c r="G19" s="86" t="s">
        <v>48</v>
      </c>
      <c r="H19" s="31" t="str">
        <f>IF(E36=3,C36,(IF(E37=3,C37,(IF(E38=3,C38,(IF(E39=3,C39,3.6)))))))</f>
        <v>Matt Whyte</v>
      </c>
      <c r="I19" s="20">
        <v>8.8000000000000007</v>
      </c>
      <c r="J19" s="35">
        <v>3</v>
      </c>
      <c r="K19" s="91"/>
      <c r="L19" s="79" t="s">
        <v>94</v>
      </c>
      <c r="M19" s="79" t="s">
        <v>75</v>
      </c>
      <c r="N19" s="96"/>
      <c r="O19" s="79">
        <v>14</v>
      </c>
      <c r="P19" s="80"/>
      <c r="Q19" s="86" t="s">
        <v>48</v>
      </c>
      <c r="R19" s="44" t="str">
        <f>IF(O28=2,M28,(IF(O29=2,M29,(IF(O30=2,M30,(IF(O27=2,M27,2.15)))))))</f>
        <v>Michael Van Opstal</v>
      </c>
      <c r="S19" s="20">
        <v>12.83</v>
      </c>
      <c r="T19" s="36">
        <v>1</v>
      </c>
      <c r="U19" s="80"/>
      <c r="V19" s="80"/>
      <c r="W19" s="80"/>
      <c r="X19" s="80"/>
      <c r="Y19" s="80"/>
      <c r="Z19"/>
      <c r="AA19"/>
      <c r="AB19" s="46"/>
      <c r="AC19" s="46"/>
      <c r="AD19" s="29"/>
      <c r="AE19"/>
      <c r="AF19"/>
      <c r="AG19"/>
      <c r="AH19"/>
    </row>
    <row r="20" spans="1:34" s="38" customFormat="1" ht="18.75" x14ac:dyDescent="0.3">
      <c r="A20" s="85" t="s">
        <v>47</v>
      </c>
      <c r="B20" s="35">
        <v>16</v>
      </c>
      <c r="C20" s="83" t="s">
        <v>127</v>
      </c>
      <c r="D20" s="72">
        <v>8</v>
      </c>
      <c r="E20" s="35">
        <v>3</v>
      </c>
      <c r="F20" s="91"/>
      <c r="G20" s="80"/>
      <c r="H20" s="80"/>
      <c r="I20" s="214"/>
      <c r="J20" s="80"/>
      <c r="K20" s="91"/>
      <c r="L20" s="82" t="s">
        <v>46</v>
      </c>
      <c r="M20" s="44" t="s">
        <v>120</v>
      </c>
      <c r="N20" s="20">
        <v>3.37</v>
      </c>
      <c r="O20" s="21">
        <v>4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  <c r="Z20"/>
      <c r="AA20"/>
      <c r="AB20" s="48"/>
      <c r="AC20" s="91"/>
      <c r="AD20" s="29"/>
      <c r="AE20"/>
      <c r="AF20"/>
      <c r="AG20"/>
      <c r="AH20"/>
    </row>
    <row r="21" spans="1:34" s="38" customFormat="1" ht="18.75" x14ac:dyDescent="0.3">
      <c r="A21" s="93" t="s">
        <v>48</v>
      </c>
      <c r="B21" s="35">
        <v>21</v>
      </c>
      <c r="C21" s="83" t="s">
        <v>128</v>
      </c>
      <c r="D21" s="72">
        <v>8.5</v>
      </c>
      <c r="E21" s="35">
        <v>2</v>
      </c>
      <c r="F21" s="91"/>
      <c r="G21" s="79" t="s">
        <v>77</v>
      </c>
      <c r="H21"/>
      <c r="I21" s="180"/>
      <c r="J21" s="118">
        <v>9</v>
      </c>
      <c r="K21" s="91"/>
      <c r="L21" s="84" t="s">
        <v>36</v>
      </c>
      <c r="M21" s="44" t="s">
        <v>131</v>
      </c>
      <c r="N21" s="20">
        <v>11.44</v>
      </c>
      <c r="O21" s="35">
        <v>1</v>
      </c>
      <c r="P21" s="80"/>
      <c r="Q21" s="80"/>
      <c r="R21" s="80"/>
      <c r="S21" s="80"/>
      <c r="T21" s="80"/>
      <c r="U21" s="80"/>
      <c r="V21" s="80"/>
      <c r="W21" s="80"/>
      <c r="X21" s="80"/>
      <c r="Y21" s="80"/>
      <c r="Z21"/>
      <c r="AA21"/>
      <c r="AB21" s="48"/>
      <c r="AC21" s="91"/>
      <c r="AD21" s="29"/>
      <c r="AE21"/>
      <c r="AF21"/>
      <c r="AG21"/>
      <c r="AH21"/>
    </row>
    <row r="22" spans="1:34" s="38" customFormat="1" ht="18.75" x14ac:dyDescent="0.3">
      <c r="A22"/>
      <c r="B22"/>
      <c r="C22"/>
      <c r="D22"/>
      <c r="E22"/>
      <c r="F22"/>
      <c r="G22" s="82" t="s">
        <v>46</v>
      </c>
      <c r="H22" s="20" t="s">
        <v>127</v>
      </c>
      <c r="I22" s="20">
        <v>13.66</v>
      </c>
      <c r="J22" s="35">
        <v>1</v>
      </c>
      <c r="K22"/>
      <c r="L22" s="85" t="s">
        <v>47</v>
      </c>
      <c r="M22" s="44" t="s">
        <v>201</v>
      </c>
      <c r="N22" s="20">
        <v>10.07</v>
      </c>
      <c r="O22" s="35">
        <v>3</v>
      </c>
      <c r="P22"/>
      <c r="Q22"/>
      <c r="R22"/>
      <c r="S22"/>
      <c r="T22"/>
      <c r="U22"/>
      <c r="V22"/>
      <c r="W22"/>
      <c r="X22"/>
      <c r="Y22"/>
      <c r="Z22"/>
      <c r="AA22"/>
      <c r="AB22" s="48"/>
      <c r="AC22" s="91"/>
      <c r="AD22" s="29"/>
      <c r="AE22"/>
      <c r="AF22"/>
      <c r="AG22"/>
      <c r="AH22"/>
    </row>
    <row r="23" spans="1:34" s="38" customFormat="1" ht="18.75" x14ac:dyDescent="0.3">
      <c r="A23" s="79" t="s">
        <v>76</v>
      </c>
      <c r="B23" s="79"/>
      <c r="C23" s="79"/>
      <c r="D23" s="79"/>
      <c r="E23" s="79">
        <v>4</v>
      </c>
      <c r="F23"/>
      <c r="G23" s="84" t="s">
        <v>36</v>
      </c>
      <c r="H23" s="31" t="s">
        <v>130</v>
      </c>
      <c r="I23" s="20">
        <v>13.23</v>
      </c>
      <c r="J23" s="35">
        <v>2</v>
      </c>
      <c r="K23"/>
      <c r="L23" s="86" t="s">
        <v>48</v>
      </c>
      <c r="M23" s="31" t="str">
        <f>IF(J37=2,H37,(IF(J38=2,H38,(IF(J36=2,H36,2.11)))))</f>
        <v>Col Bernasconi</v>
      </c>
      <c r="N23" s="20">
        <v>10.4</v>
      </c>
      <c r="O23" s="35">
        <v>2</v>
      </c>
      <c r="P23"/>
      <c r="Q23"/>
      <c r="R23"/>
      <c r="S23"/>
      <c r="T23"/>
      <c r="U23"/>
      <c r="V23"/>
      <c r="W23"/>
      <c r="X23"/>
      <c r="Y23"/>
      <c r="Z23"/>
      <c r="AA23"/>
      <c r="AB23" s="48"/>
      <c r="AC23" s="91"/>
      <c r="AD23" s="29"/>
      <c r="AE23"/>
      <c r="AF23"/>
      <c r="AG23"/>
      <c r="AH23"/>
    </row>
    <row r="24" spans="1:34" s="38" customFormat="1" ht="18.75" x14ac:dyDescent="0.3">
      <c r="A24" s="82" t="s">
        <v>46</v>
      </c>
      <c r="B24" s="21">
        <v>3</v>
      </c>
      <c r="C24" s="83" t="s">
        <v>120</v>
      </c>
      <c r="D24" s="71">
        <v>12.03</v>
      </c>
      <c r="E24" s="21">
        <v>1</v>
      </c>
      <c r="F24"/>
      <c r="G24" s="92" t="s">
        <v>47</v>
      </c>
      <c r="H24" s="31" t="str">
        <f>IF(E30=4,C30,(IF(E31=4,C31,(IF(E32=4,C32,(IF(E33=4,C33,4.5)))))))</f>
        <v>Billy Budd</v>
      </c>
      <c r="I24" s="20">
        <v>4.7</v>
      </c>
      <c r="J24" s="35">
        <v>4</v>
      </c>
      <c r="K24"/>
      <c r="L24" s="80"/>
      <c r="M24" s="80"/>
      <c r="N24" s="214"/>
      <c r="O24" s="80"/>
      <c r="P24"/>
      <c r="Q24"/>
      <c r="R24"/>
      <c r="S24"/>
      <c r="T24"/>
      <c r="U24"/>
      <c r="V24"/>
      <c r="W24"/>
      <c r="X24"/>
      <c r="Y24"/>
      <c r="Z24"/>
      <c r="AA24"/>
      <c r="AC24" s="17"/>
      <c r="AD24"/>
      <c r="AE24"/>
      <c r="AF24"/>
      <c r="AG24"/>
      <c r="AH24"/>
    </row>
    <row r="25" spans="1:34" s="38" customFormat="1" ht="18.75" x14ac:dyDescent="0.3">
      <c r="A25" s="84" t="s">
        <v>36</v>
      </c>
      <c r="B25" s="35">
        <v>10</v>
      </c>
      <c r="C25" s="83" t="s">
        <v>129</v>
      </c>
      <c r="D25" s="72">
        <v>9.93</v>
      </c>
      <c r="E25" s="35">
        <v>2</v>
      </c>
      <c r="F25"/>
      <c r="G25" s="86" t="s">
        <v>48</v>
      </c>
      <c r="H25" s="31" t="str">
        <f>IF(E36=4,C36,(IF(E37=4,C37,(IF(E38=4,C38,(IF(E39=4,C39,4.6)))))))</f>
        <v>Brett Chalker</v>
      </c>
      <c r="I25" s="20">
        <v>7.73</v>
      </c>
      <c r="J25" s="35">
        <v>3</v>
      </c>
      <c r="K25"/>
      <c r="L25" s="80"/>
      <c r="M25" s="80"/>
      <c r="N25" s="214"/>
      <c r="O25" s="80"/>
      <c r="P25"/>
      <c r="Q25"/>
      <c r="R25"/>
      <c r="S25"/>
      <c r="T25"/>
      <c r="U25"/>
      <c r="V25"/>
      <c r="W25"/>
      <c r="X25"/>
      <c r="Y25"/>
      <c r="Z25"/>
      <c r="AA25"/>
      <c r="AB25" s="17"/>
      <c r="AC25" s="17"/>
      <c r="AD25"/>
      <c r="AE25"/>
      <c r="AF25"/>
      <c r="AG25"/>
      <c r="AH25"/>
    </row>
    <row r="26" spans="1:34" s="38" customFormat="1" ht="18.75" x14ac:dyDescent="0.3">
      <c r="A26" s="85" t="s">
        <v>47</v>
      </c>
      <c r="B26" s="35">
        <v>15</v>
      </c>
      <c r="C26" s="83" t="s">
        <v>111</v>
      </c>
      <c r="D26" s="72">
        <v>8.3699999999999992</v>
      </c>
      <c r="E26" s="35">
        <v>4</v>
      </c>
      <c r="F26"/>
      <c r="G26"/>
      <c r="H26"/>
      <c r="I26" s="180"/>
      <c r="J26"/>
      <c r="K26"/>
      <c r="L26" s="79" t="s">
        <v>95</v>
      </c>
      <c r="M26" s="79" t="s">
        <v>75</v>
      </c>
      <c r="N26" s="96"/>
      <c r="O26" s="79">
        <v>15</v>
      </c>
      <c r="P26"/>
      <c r="Q26"/>
      <c r="R26"/>
      <c r="S26"/>
      <c r="T26"/>
      <c r="U26"/>
      <c r="V26"/>
      <c r="W26"/>
      <c r="X26"/>
      <c r="Y26"/>
      <c r="Z26"/>
      <c r="AA26"/>
      <c r="AB26" s="17"/>
      <c r="AC26" s="17"/>
      <c r="AD26"/>
      <c r="AE26"/>
      <c r="AF26"/>
      <c r="AG26"/>
      <c r="AH26"/>
    </row>
    <row r="27" spans="1:34" s="38" customFormat="1" ht="18.75" x14ac:dyDescent="0.3">
      <c r="A27" s="93" t="s">
        <v>48</v>
      </c>
      <c r="B27" s="35">
        <v>22</v>
      </c>
      <c r="C27" s="83" t="s">
        <v>130</v>
      </c>
      <c r="D27" s="72">
        <v>9.57</v>
      </c>
      <c r="E27" s="35">
        <v>3</v>
      </c>
      <c r="F27"/>
      <c r="G27"/>
      <c r="H27"/>
      <c r="I27" s="180"/>
      <c r="J27"/>
      <c r="K27"/>
      <c r="L27" s="82" t="s">
        <v>46</v>
      </c>
      <c r="M27" s="44" t="s">
        <v>129</v>
      </c>
      <c r="N27" s="20">
        <v>7.2</v>
      </c>
      <c r="O27" s="21">
        <v>4</v>
      </c>
      <c r="P27"/>
      <c r="Q27"/>
      <c r="R27"/>
      <c r="S27"/>
      <c r="T27"/>
      <c r="U27"/>
      <c r="V27"/>
      <c r="W27"/>
      <c r="X27"/>
      <c r="Y27"/>
      <c r="Z27"/>
      <c r="AA27"/>
      <c r="AB27" s="17"/>
      <c r="AC27" s="17"/>
      <c r="AD27"/>
      <c r="AE27"/>
      <c r="AF27"/>
      <c r="AG27"/>
      <c r="AH27"/>
    </row>
    <row r="28" spans="1:34" s="38" customFormat="1" ht="18.75" x14ac:dyDescent="0.3">
      <c r="A28"/>
      <c r="B28"/>
      <c r="C28"/>
      <c r="D28"/>
      <c r="E28"/>
      <c r="F28"/>
      <c r="G28" s="79" t="s">
        <v>71</v>
      </c>
      <c r="H28" s="80"/>
      <c r="I28" s="117" t="s">
        <v>80</v>
      </c>
      <c r="J28" s="117" t="s">
        <v>81</v>
      </c>
      <c r="K28"/>
      <c r="L28" s="84" t="s">
        <v>36</v>
      </c>
      <c r="M28" s="44" t="s">
        <v>133</v>
      </c>
      <c r="N28" s="20">
        <v>8.33</v>
      </c>
      <c r="O28" s="35">
        <v>3</v>
      </c>
      <c r="P28"/>
      <c r="Q28"/>
      <c r="R28"/>
      <c r="S28"/>
      <c r="T28"/>
      <c r="U28"/>
      <c r="V28"/>
      <c r="W28"/>
      <c r="X28"/>
      <c r="Y28"/>
      <c r="Z28"/>
      <c r="AA28"/>
      <c r="AB28" s="17"/>
      <c r="AC28" s="17"/>
      <c r="AD28"/>
      <c r="AE28"/>
      <c r="AF28"/>
      <c r="AG28"/>
      <c r="AH28"/>
    </row>
    <row r="29" spans="1:34" s="38" customFormat="1" ht="18.75" x14ac:dyDescent="0.3">
      <c r="A29" s="79" t="s">
        <v>78</v>
      </c>
      <c r="B29" s="79"/>
      <c r="C29" s="79"/>
      <c r="D29" s="79"/>
      <c r="E29" s="79">
        <v>5</v>
      </c>
      <c r="F29"/>
      <c r="G29" s="79" t="s">
        <v>69</v>
      </c>
      <c r="H29" s="79"/>
      <c r="I29" s="96"/>
      <c r="J29" s="79">
        <v>10</v>
      </c>
      <c r="K29"/>
      <c r="L29" s="85" t="s">
        <v>47</v>
      </c>
      <c r="M29" s="44" t="s">
        <v>202</v>
      </c>
      <c r="N29" s="20">
        <v>10.63</v>
      </c>
      <c r="O29" s="35">
        <v>2</v>
      </c>
      <c r="P29"/>
      <c r="Q29"/>
      <c r="R29"/>
      <c r="S29"/>
      <c r="T29"/>
      <c r="U29"/>
      <c r="V29"/>
      <c r="W29"/>
      <c r="X29"/>
      <c r="Y29"/>
      <c r="Z29"/>
      <c r="AA29"/>
      <c r="AB29" s="17"/>
      <c r="AC29" s="17"/>
      <c r="AD29"/>
      <c r="AE29"/>
      <c r="AF29"/>
      <c r="AG29"/>
      <c r="AH29"/>
    </row>
    <row r="30" spans="1:34" s="38" customFormat="1" ht="18.75" x14ac:dyDescent="0.3">
      <c r="A30" s="82" t="s">
        <v>46</v>
      </c>
      <c r="B30" s="21">
        <v>5</v>
      </c>
      <c r="C30" s="83" t="s">
        <v>110</v>
      </c>
      <c r="D30" s="71">
        <v>8.1</v>
      </c>
      <c r="E30" s="21">
        <v>3</v>
      </c>
      <c r="F30"/>
      <c r="G30" s="82" t="s">
        <v>46</v>
      </c>
      <c r="H30" s="31" t="str">
        <f>IF(J10=1,H10,(IF(J11=1,H11,(IF(J12=1,H12,(IF(J13=1,H13,1.7)))))))</f>
        <v>Kieran White</v>
      </c>
      <c r="I30" s="88">
        <v>9.66</v>
      </c>
      <c r="J30" s="18">
        <v>2</v>
      </c>
      <c r="K30"/>
      <c r="L30" s="93" t="s">
        <v>48</v>
      </c>
      <c r="M30" s="121" t="str">
        <f>IF(J37=1,H37,(IF(J38=1,H38,(IF(J36=1,H36,1.11)))))</f>
        <v>Luke Howarth</v>
      </c>
      <c r="N30" s="20">
        <v>12.04</v>
      </c>
      <c r="O30" s="35">
        <v>1</v>
      </c>
      <c r="P30"/>
      <c r="Q30"/>
      <c r="R30"/>
      <c r="S30"/>
      <c r="T30"/>
      <c r="U30"/>
      <c r="V30"/>
      <c r="W30"/>
      <c r="X30"/>
      <c r="Y30"/>
      <c r="Z30"/>
      <c r="AA30"/>
      <c r="AB30" s="17"/>
      <c r="AC30" s="17"/>
      <c r="AD30"/>
      <c r="AE30"/>
      <c r="AF30"/>
      <c r="AG30"/>
      <c r="AH30"/>
    </row>
    <row r="31" spans="1:34" s="38" customFormat="1" ht="18.75" x14ac:dyDescent="0.3">
      <c r="A31" s="84" t="s">
        <v>36</v>
      </c>
      <c r="B31" s="35">
        <v>8</v>
      </c>
      <c r="C31" s="83" t="s">
        <v>131</v>
      </c>
      <c r="D31" s="72">
        <v>8.83</v>
      </c>
      <c r="E31" s="35">
        <v>2</v>
      </c>
      <c r="F31"/>
      <c r="G31" s="84" t="s">
        <v>36</v>
      </c>
      <c r="H31" s="31" t="s">
        <v>110</v>
      </c>
      <c r="I31" s="217" t="s">
        <v>194</v>
      </c>
      <c r="J31" s="216" t="s">
        <v>194</v>
      </c>
      <c r="K31"/>
      <c r="L31"/>
      <c r="M31" s="29"/>
      <c r="N31" s="180"/>
      <c r="O31"/>
      <c r="P31"/>
      <c r="Q31"/>
      <c r="R31"/>
      <c r="S31"/>
      <c r="T31"/>
      <c r="U31"/>
      <c r="V31"/>
      <c r="W31"/>
      <c r="X31"/>
      <c r="Y31"/>
      <c r="Z31"/>
      <c r="AA31"/>
      <c r="AB31" s="17"/>
      <c r="AC31" s="17"/>
      <c r="AD31"/>
      <c r="AE31"/>
      <c r="AF31"/>
      <c r="AG31"/>
      <c r="AH31"/>
    </row>
    <row r="32" spans="1:34" s="38" customFormat="1" ht="18.75" x14ac:dyDescent="0.3">
      <c r="A32" s="85" t="s">
        <v>47</v>
      </c>
      <c r="B32" s="35">
        <v>17</v>
      </c>
      <c r="C32" s="83" t="s">
        <v>132</v>
      </c>
      <c r="D32" s="72">
        <v>4.0999999999999996</v>
      </c>
      <c r="E32" s="35">
        <v>4</v>
      </c>
      <c r="F32"/>
      <c r="G32" s="92" t="s">
        <v>47</v>
      </c>
      <c r="H32" s="31" t="str">
        <f>IF(J22=2,H22,(IF(J23=2,H23,(IF(J24=2,H24,(IF(J25=2,H25,2.9)))))))</f>
        <v>Brett Bannister</v>
      </c>
      <c r="I32" s="20">
        <v>15.07</v>
      </c>
      <c r="J32" s="35">
        <v>1</v>
      </c>
      <c r="K32"/>
      <c r="L32"/>
      <c r="M32" s="48"/>
      <c r="N32" s="180"/>
      <c r="O32"/>
      <c r="P32"/>
      <c r="Q32"/>
      <c r="R32"/>
      <c r="S32"/>
      <c r="T32"/>
      <c r="U32"/>
      <c r="V32"/>
      <c r="W32"/>
      <c r="X32"/>
      <c r="Y32"/>
      <c r="Z32"/>
      <c r="AA32"/>
      <c r="AB32" s="17"/>
      <c r="AC32" s="17"/>
      <c r="AD32"/>
      <c r="AE32"/>
      <c r="AF32"/>
      <c r="AG32"/>
      <c r="AH32"/>
    </row>
    <row r="33" spans="1:34" s="38" customFormat="1" ht="18.75" x14ac:dyDescent="0.3">
      <c r="A33" s="93" t="s">
        <v>48</v>
      </c>
      <c r="B33" s="35">
        <v>20</v>
      </c>
      <c r="C33" s="83" t="s">
        <v>133</v>
      </c>
      <c r="D33" s="72">
        <v>11.14</v>
      </c>
      <c r="E33" s="35">
        <v>1</v>
      </c>
      <c r="F33"/>
      <c r="G33" s="68"/>
      <c r="H33" s="122"/>
      <c r="I33" s="56"/>
      <c r="J33" s="54"/>
      <c r="K33"/>
      <c r="L33"/>
      <c r="M33" s="48"/>
      <c r="N33" s="180"/>
      <c r="O33"/>
      <c r="P33"/>
      <c r="Q33"/>
      <c r="R33"/>
      <c r="S33"/>
      <c r="T33"/>
      <c r="U33"/>
      <c r="V33"/>
      <c r="W33"/>
      <c r="X33"/>
      <c r="Y33"/>
      <c r="Z33"/>
      <c r="AA33"/>
      <c r="AB33" s="17"/>
      <c r="AC33" s="17"/>
      <c r="AD33"/>
      <c r="AE33"/>
      <c r="AF33"/>
      <c r="AG33"/>
      <c r="AH33"/>
    </row>
    <row r="34" spans="1:34" s="38" customFormat="1" ht="18.75" x14ac:dyDescent="0.3">
      <c r="A34"/>
      <c r="B34"/>
      <c r="C34"/>
      <c r="D34"/>
      <c r="E34"/>
      <c r="F34"/>
      <c r="G34" s="91"/>
      <c r="H34" s="48"/>
      <c r="I34" s="48"/>
      <c r="J34" s="91"/>
      <c r="K34"/>
      <c r="L34"/>
      <c r="M34" s="29"/>
      <c r="N34" s="180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38" customFormat="1" ht="18.75" x14ac:dyDescent="0.3">
      <c r="A35" s="79" t="s">
        <v>79</v>
      </c>
      <c r="B35" s="79"/>
      <c r="C35" s="79"/>
      <c r="D35" s="79"/>
      <c r="E35" s="79">
        <v>6</v>
      </c>
      <c r="F35"/>
      <c r="G35" s="79" t="s">
        <v>74</v>
      </c>
      <c r="H35" s="79"/>
      <c r="I35" s="96"/>
      <c r="J35" s="79">
        <v>11</v>
      </c>
      <c r="K35"/>
      <c r="L35"/>
      <c r="M35" s="123"/>
      <c r="N35" s="18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38" customFormat="1" ht="18.75" x14ac:dyDescent="0.3">
      <c r="A36" s="82" t="s">
        <v>46</v>
      </c>
      <c r="B36" s="21">
        <v>2</v>
      </c>
      <c r="C36" s="83" t="s">
        <v>171</v>
      </c>
      <c r="D36" s="71">
        <v>14.13</v>
      </c>
      <c r="E36" s="21">
        <v>1</v>
      </c>
      <c r="F36"/>
      <c r="G36" s="82" t="s">
        <v>46</v>
      </c>
      <c r="H36" s="31" t="str">
        <f>IF(J10=2,H10,(IF(J11=2,H11,(IF(J12=2,H12,(IF(J13=2,H13,2.7)))))))</f>
        <v>Mark Morgenthal</v>
      </c>
      <c r="I36" s="20">
        <v>3.84</v>
      </c>
      <c r="J36" s="35">
        <v>3</v>
      </c>
      <c r="K36"/>
      <c r="L36"/>
      <c r="M36" s="91"/>
      <c r="N36" s="180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38" customFormat="1" ht="18.75" x14ac:dyDescent="0.3">
      <c r="A37" s="84" t="s">
        <v>36</v>
      </c>
      <c r="B37" s="35">
        <v>11</v>
      </c>
      <c r="C37" s="83" t="s">
        <v>134</v>
      </c>
      <c r="D37" s="72">
        <v>5.87</v>
      </c>
      <c r="E37" s="35">
        <v>4</v>
      </c>
      <c r="F37"/>
      <c r="G37" s="84" t="s">
        <v>36</v>
      </c>
      <c r="H37" s="31" t="str">
        <f>IF(J16=1,H16,(IF(J17=1,H17,(IF(J18=1,H18,(IF(J19=1,H19,1.8)))))))</f>
        <v>Col Bernasconi</v>
      </c>
      <c r="I37" s="20">
        <v>11.67</v>
      </c>
      <c r="J37" s="35">
        <v>2</v>
      </c>
      <c r="K37"/>
      <c r="L37"/>
      <c r="M37" s="91"/>
      <c r="N37" s="180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38" customFormat="1" ht="18.75" x14ac:dyDescent="0.3">
      <c r="A38" s="85" t="s">
        <v>47</v>
      </c>
      <c r="B38" s="35">
        <v>14</v>
      </c>
      <c r="C38" s="83" t="s">
        <v>135</v>
      </c>
      <c r="D38" s="72">
        <v>6.1</v>
      </c>
      <c r="E38" s="35">
        <v>3</v>
      </c>
      <c r="F38"/>
      <c r="G38" s="92" t="s">
        <v>47</v>
      </c>
      <c r="H38" s="31" t="str">
        <f>IF(J22=1,H22,(IF(J23=1,H23,(IF(J24=1,H24,(IF(J25=1,H25,1.9)))))))</f>
        <v>Luke Howarth</v>
      </c>
      <c r="I38" s="20">
        <v>14.67</v>
      </c>
      <c r="J38" s="35">
        <v>1</v>
      </c>
      <c r="K38"/>
      <c r="L38"/>
      <c r="M38" s="46"/>
      <c r="N38" s="180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38" customFormat="1" ht="18.75" x14ac:dyDescent="0.3">
      <c r="A39" s="93" t="s">
        <v>48</v>
      </c>
      <c r="B39" s="35">
        <v>23</v>
      </c>
      <c r="C39" s="83" t="s">
        <v>136</v>
      </c>
      <c r="D39" s="72">
        <v>11.83</v>
      </c>
      <c r="E39" s="35">
        <v>2</v>
      </c>
      <c r="F39"/>
      <c r="G39" s="68"/>
      <c r="H39" s="122"/>
      <c r="I39" s="56"/>
      <c r="J39" s="54"/>
      <c r="K39"/>
      <c r="L39"/>
      <c r="M39" s="48"/>
      <c r="N39" s="180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38" customFormat="1" ht="18.75" x14ac:dyDescent="0.3">
      <c r="A40"/>
      <c r="B40"/>
      <c r="C40"/>
      <c r="D40"/>
      <c r="E40"/>
      <c r="F40"/>
      <c r="G40"/>
      <c r="H40"/>
      <c r="I40" s="180"/>
      <c r="J40"/>
      <c r="K40"/>
      <c r="L40"/>
      <c r="M40" s="48"/>
      <c r="N40" s="18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38" customFormat="1" x14ac:dyDescent="0.2">
      <c r="A41"/>
      <c r="B41"/>
      <c r="C41"/>
      <c r="D41"/>
      <c r="E41"/>
      <c r="F41"/>
      <c r="G41"/>
      <c r="H41"/>
      <c r="I41" s="180"/>
      <c r="J41"/>
      <c r="K41"/>
      <c r="L41"/>
      <c r="M41" s="29"/>
      <c r="N41" s="180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38" customFormat="1" ht="19" x14ac:dyDescent="0.25">
      <c r="A42"/>
      <c r="B42"/>
      <c r="C42"/>
      <c r="D42"/>
      <c r="E42"/>
      <c r="F42"/>
      <c r="G42"/>
      <c r="H42"/>
      <c r="I42" s="180"/>
      <c r="J42"/>
      <c r="K42"/>
      <c r="L42"/>
      <c r="M42" s="123"/>
      <c r="N42" s="180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38" customFormat="1" ht="19" x14ac:dyDescent="0.25">
      <c r="A43"/>
      <c r="B43"/>
      <c r="C43"/>
      <c r="D43"/>
      <c r="E43"/>
      <c r="F43"/>
      <c r="G43"/>
      <c r="H43"/>
      <c r="I43" s="180"/>
      <c r="J43"/>
      <c r="K43"/>
      <c r="L43"/>
      <c r="M43" s="47"/>
      <c r="N43" s="180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38" customFormat="1" ht="19" x14ac:dyDescent="0.25">
      <c r="A44"/>
      <c r="B44"/>
      <c r="C44"/>
      <c r="D44"/>
      <c r="E44"/>
      <c r="F44"/>
      <c r="G44"/>
      <c r="H44"/>
      <c r="I44" s="180"/>
      <c r="J44"/>
      <c r="K44"/>
      <c r="L44"/>
      <c r="M44" s="91"/>
      <c r="N44" s="180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38" customFormat="1" ht="19" x14ac:dyDescent="0.25">
      <c r="A45"/>
      <c r="B45"/>
      <c r="C45"/>
      <c r="D45"/>
      <c r="E45"/>
      <c r="F45"/>
      <c r="G45"/>
      <c r="H45"/>
      <c r="I45" s="180"/>
      <c r="J45"/>
      <c r="K45"/>
      <c r="L45"/>
      <c r="M45" s="46"/>
      <c r="N45" s="180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38" customFormat="1" x14ac:dyDescent="0.2">
      <c r="A46"/>
      <c r="B46"/>
      <c r="C46"/>
      <c r="D46"/>
      <c r="E46"/>
      <c r="F46"/>
      <c r="G46"/>
      <c r="H46"/>
      <c r="I46" s="180"/>
      <c r="J46"/>
      <c r="K46"/>
      <c r="L46"/>
      <c r="M46" s="29"/>
      <c r="N46" s="180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38" customFormat="1" x14ac:dyDescent="0.2">
      <c r="A47"/>
      <c r="B47"/>
      <c r="C47"/>
      <c r="D47"/>
      <c r="E47"/>
      <c r="F47"/>
      <c r="G47"/>
      <c r="H47"/>
      <c r="I47" s="180"/>
      <c r="J47"/>
      <c r="K47"/>
      <c r="L47"/>
      <c r="M47" s="29"/>
      <c r="N47" s="180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38" customFormat="1" x14ac:dyDescent="0.2">
      <c r="A48"/>
      <c r="B48"/>
      <c r="C48"/>
      <c r="D48"/>
      <c r="E48"/>
      <c r="F48"/>
      <c r="G48"/>
      <c r="H48"/>
      <c r="I48" s="180"/>
      <c r="J48"/>
      <c r="K48"/>
      <c r="L48"/>
      <c r="M48" s="29"/>
      <c r="N48" s="180"/>
      <c r="O48"/>
      <c r="P48"/>
      <c r="Q48"/>
      <c r="R48"/>
      <c r="S48"/>
      <c r="T48"/>
      <c r="U48"/>
      <c r="V48"/>
      <c r="W48"/>
      <c r="X48"/>
      <c r="Y48"/>
    </row>
    <row r="49" spans="6:14" s="38" customFormat="1" ht="12" x14ac:dyDescent="0.15">
      <c r="F49" s="94"/>
      <c r="I49" s="213"/>
      <c r="N49" s="213"/>
    </row>
  </sheetData>
  <sortState ref="B37:K60">
    <sortCondition ref="D3:D26"/>
    <sortCondition ref="E3:E26"/>
    <sortCondition ref="G3:G26"/>
    <sortCondition ref="H3:H26"/>
    <sortCondition ref="I3:I26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9"/>
  <sheetViews>
    <sheetView topLeftCell="I1" zoomScale="75" zoomScaleNormal="75" workbookViewId="0">
      <selection activeCell="Z16" sqref="Z16"/>
    </sheetView>
  </sheetViews>
  <sheetFormatPr baseColWidth="10" defaultColWidth="8.83203125" defaultRowHeight="16" x14ac:dyDescent="0.2"/>
  <cols>
    <col min="1" max="1" width="12.6640625" customWidth="1"/>
    <col min="2" max="2" width="5.6640625" hidden="1" customWidth="1"/>
    <col min="3" max="3" width="24" customWidth="1"/>
    <col min="4" max="4" width="15.6640625" style="180" customWidth="1"/>
    <col min="5" max="6" width="5.33203125" customWidth="1"/>
    <col min="7" max="7" width="12.6640625" customWidth="1"/>
    <col min="8" max="8" width="22.33203125" customWidth="1"/>
    <col min="9" max="9" width="12.1640625" style="180" customWidth="1"/>
    <col min="10" max="10" width="5.6640625" customWidth="1"/>
    <col min="13" max="13" width="21.83203125" customWidth="1"/>
    <col min="14" max="14" width="13.33203125" style="180" customWidth="1"/>
    <col min="15" max="15" width="5.6640625" customWidth="1"/>
    <col min="18" max="18" width="20.1640625" bestFit="1" customWidth="1"/>
    <col min="19" max="19" width="15.1640625" customWidth="1"/>
    <col min="20" max="20" width="6.5" customWidth="1"/>
    <col min="21" max="21" width="4.1640625" customWidth="1"/>
    <col min="23" max="23" width="23.1640625" customWidth="1"/>
    <col min="24" max="24" width="16.33203125" customWidth="1"/>
    <col min="25" max="25" width="8.1640625" customWidth="1"/>
    <col min="28" max="28" width="22.1640625" customWidth="1"/>
    <col min="29" max="29" width="7.33203125" bestFit="1" customWidth="1"/>
    <col min="30" max="30" width="5.5" customWidth="1"/>
  </cols>
  <sheetData>
    <row r="1" spans="1:34" ht="21" x14ac:dyDescent="0.35">
      <c r="A1" s="15" t="s">
        <v>42</v>
      </c>
      <c r="B1" s="15"/>
    </row>
    <row r="3" spans="1:34" s="38" customFormat="1" ht="18.75" x14ac:dyDescent="0.3">
      <c r="A3"/>
      <c r="B3"/>
      <c r="C3"/>
      <c r="D3" s="180"/>
      <c r="E3"/>
      <c r="F3"/>
      <c r="G3"/>
      <c r="H3"/>
      <c r="I3" s="180"/>
      <c r="J3"/>
      <c r="K3"/>
      <c r="L3"/>
      <c r="M3"/>
      <c r="N3" s="180"/>
      <c r="O3"/>
      <c r="P3"/>
      <c r="Q3"/>
      <c r="R3"/>
      <c r="S3"/>
      <c r="T3"/>
      <c r="U3"/>
      <c r="V3"/>
      <c r="W3"/>
      <c r="X3"/>
      <c r="Y3"/>
      <c r="Z3" s="17"/>
      <c r="AA3" s="17"/>
      <c r="AB3" s="17"/>
      <c r="AC3" s="17"/>
      <c r="AD3" s="55"/>
      <c r="AE3"/>
      <c r="AF3"/>
      <c r="AG3"/>
      <c r="AH3"/>
    </row>
    <row r="4" spans="1:34" s="39" customFormat="1" ht="18.75" x14ac:dyDescent="0.3">
      <c r="A4" s="79" t="s">
        <v>45</v>
      </c>
      <c r="B4" s="80"/>
      <c r="C4" s="80"/>
      <c r="D4" s="117" t="s">
        <v>80</v>
      </c>
      <c r="E4" s="117" t="s">
        <v>81</v>
      </c>
      <c r="F4" s="79"/>
      <c r="G4" s="80"/>
      <c r="H4" s="80"/>
      <c r="I4" s="214"/>
      <c r="J4" s="80"/>
      <c r="K4" s="80"/>
      <c r="L4" s="79" t="s">
        <v>27</v>
      </c>
      <c r="M4" s="80"/>
      <c r="N4" s="117" t="s">
        <v>80</v>
      </c>
      <c r="O4" s="117" t="s">
        <v>81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16"/>
      <c r="AA4" s="16"/>
      <c r="AB4" s="16"/>
      <c r="AC4" s="16"/>
      <c r="AD4" s="55"/>
      <c r="AE4"/>
      <c r="AF4"/>
      <c r="AG4"/>
      <c r="AH4"/>
    </row>
    <row r="5" spans="1:34" s="38" customFormat="1" ht="18.75" x14ac:dyDescent="0.3">
      <c r="A5" s="79" t="s">
        <v>67</v>
      </c>
      <c r="B5" s="79"/>
      <c r="C5" s="79"/>
      <c r="D5" s="96"/>
      <c r="E5" s="79">
        <v>1</v>
      </c>
      <c r="F5" s="79"/>
      <c r="G5" s="80"/>
      <c r="H5" s="80"/>
      <c r="I5" s="214"/>
      <c r="J5" s="80"/>
      <c r="K5" s="80"/>
      <c r="L5" s="79" t="s">
        <v>92</v>
      </c>
      <c r="M5" s="79" t="s">
        <v>75</v>
      </c>
      <c r="N5" s="96"/>
      <c r="O5" s="79">
        <v>12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17"/>
      <c r="AA5" s="17"/>
      <c r="AB5" s="17"/>
      <c r="AC5" s="17"/>
      <c r="AD5" s="55"/>
      <c r="AE5"/>
      <c r="AF5"/>
      <c r="AG5"/>
      <c r="AH5"/>
    </row>
    <row r="6" spans="1:34" s="38" customFormat="1" ht="18.75" x14ac:dyDescent="0.3">
      <c r="A6" s="82" t="s">
        <v>46</v>
      </c>
      <c r="B6" s="35">
        <v>1</v>
      </c>
      <c r="C6" s="137" t="s">
        <v>137</v>
      </c>
      <c r="D6" s="88">
        <v>11.5</v>
      </c>
      <c r="E6" s="18">
        <v>1</v>
      </c>
      <c r="F6" s="91"/>
      <c r="G6" s="80"/>
      <c r="H6" s="80"/>
      <c r="I6" s="214"/>
      <c r="J6" s="80"/>
      <c r="K6" s="91"/>
      <c r="L6" s="82" t="s">
        <v>46</v>
      </c>
      <c r="M6" s="43" t="str">
        <f>IF(E6=1,C6,(IF(E7=1,C7,(IF(E8=1,C8,(IF(E9=1,C9,1.1)))))))</f>
        <v>Rod Baldwin</v>
      </c>
      <c r="N6" s="20">
        <v>16.670000000000002</v>
      </c>
      <c r="O6" s="21">
        <v>1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 s="17"/>
      <c r="AA6" s="17"/>
      <c r="AB6" s="17"/>
      <c r="AC6" s="17"/>
      <c r="AD6" s="55"/>
      <c r="AE6"/>
      <c r="AF6"/>
      <c r="AG6"/>
      <c r="AH6"/>
    </row>
    <row r="7" spans="1:34" s="38" customFormat="1" ht="18.75" x14ac:dyDescent="0.3">
      <c r="A7" s="84" t="s">
        <v>36</v>
      </c>
      <c r="B7" s="40">
        <v>12</v>
      </c>
      <c r="C7" s="83" t="s">
        <v>138</v>
      </c>
      <c r="D7" s="69">
        <v>4.83</v>
      </c>
      <c r="E7" s="41">
        <v>2</v>
      </c>
      <c r="F7" s="91"/>
      <c r="G7" s="80"/>
      <c r="H7" s="80"/>
      <c r="I7" s="214"/>
      <c r="J7" s="80"/>
      <c r="K7" s="91"/>
      <c r="L7" s="84" t="s">
        <v>36</v>
      </c>
      <c r="M7" s="44" t="str">
        <f>IF(E12=2,C12,(IF(E13=2,C13,(IF(E14=2,C14,(IF(E15=2,C15,2.2)))))))</f>
        <v>Martin Boffey</v>
      </c>
      <c r="N7" s="20">
        <v>5.34</v>
      </c>
      <c r="O7" s="35">
        <v>4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17"/>
      <c r="AA7" s="17"/>
      <c r="AB7" s="17"/>
      <c r="AC7" s="17"/>
      <c r="AD7" s="55"/>
      <c r="AE7"/>
      <c r="AF7"/>
      <c r="AG7"/>
      <c r="AH7"/>
    </row>
    <row r="8" spans="1:34" s="38" customFormat="1" ht="18.75" x14ac:dyDescent="0.3">
      <c r="A8" s="85" t="s">
        <v>47</v>
      </c>
      <c r="B8" s="35">
        <v>13</v>
      </c>
      <c r="C8" s="83" t="s">
        <v>172</v>
      </c>
      <c r="D8" s="88">
        <v>4.7300000000000004</v>
      </c>
      <c r="E8" s="18">
        <v>3</v>
      </c>
      <c r="F8" s="91"/>
      <c r="G8" s="79" t="s">
        <v>68</v>
      </c>
      <c r="H8" s="80"/>
      <c r="I8" s="117" t="s">
        <v>80</v>
      </c>
      <c r="J8" s="117" t="s">
        <v>81</v>
      </c>
      <c r="K8" s="91"/>
      <c r="L8" s="85" t="s">
        <v>47</v>
      </c>
      <c r="M8" s="43" t="str">
        <f>IF(E18=1,C18,(IF(E19=1,C19,(IF(E20=1,C20,(IF(E21=1,C21,1.3)))))))</f>
        <v>Andrew Johnston</v>
      </c>
      <c r="N8" s="20">
        <v>10.34</v>
      </c>
      <c r="O8" s="35">
        <v>3</v>
      </c>
      <c r="P8" s="80"/>
      <c r="Q8" s="79" t="s">
        <v>72</v>
      </c>
      <c r="R8"/>
      <c r="S8" s="117" t="s">
        <v>80</v>
      </c>
      <c r="T8" s="117" t="s">
        <v>81</v>
      </c>
      <c r="U8" s="80"/>
      <c r="V8" s="80"/>
      <c r="W8" s="80"/>
      <c r="X8" s="80"/>
      <c r="Y8" s="80"/>
      <c r="Z8" s="17"/>
      <c r="AA8" s="17"/>
      <c r="AB8" s="17"/>
      <c r="AC8" s="17"/>
      <c r="AD8" s="55"/>
      <c r="AE8"/>
      <c r="AF8"/>
      <c r="AG8"/>
      <c r="AH8"/>
    </row>
    <row r="9" spans="1:34" s="38" customFormat="1" ht="18.75" x14ac:dyDescent="0.3">
      <c r="A9" s="86" t="s">
        <v>48</v>
      </c>
      <c r="B9" s="36">
        <v>24</v>
      </c>
      <c r="C9" s="207" t="s">
        <v>156</v>
      </c>
      <c r="D9" s="89">
        <v>4.07</v>
      </c>
      <c r="E9" s="19">
        <v>4</v>
      </c>
      <c r="F9" s="91"/>
      <c r="G9" s="79" t="s">
        <v>69</v>
      </c>
      <c r="H9" s="79"/>
      <c r="I9" s="96"/>
      <c r="J9" s="79">
        <v>7</v>
      </c>
      <c r="K9" s="46"/>
      <c r="L9" s="86" t="s">
        <v>48</v>
      </c>
      <c r="M9" s="121" t="str">
        <f>IF(J30=2,H30,(IF(J31=2,H31,(IF(J32=2,H32,2.1)))))</f>
        <v>Michael Hoysted</v>
      </c>
      <c r="N9" s="20">
        <v>11.33</v>
      </c>
      <c r="O9" s="35">
        <v>2</v>
      </c>
      <c r="P9" s="79"/>
      <c r="Q9" s="79" t="s">
        <v>69</v>
      </c>
      <c r="R9" s="79"/>
      <c r="S9" s="79"/>
      <c r="T9" s="79">
        <v>16</v>
      </c>
      <c r="U9" s="80"/>
      <c r="V9" s="80"/>
      <c r="W9" s="80"/>
      <c r="X9" s="80"/>
      <c r="Y9" s="80"/>
      <c r="Z9" s="17"/>
      <c r="AA9" s="17"/>
      <c r="AB9" s="17"/>
      <c r="AC9" s="17"/>
      <c r="AD9" s="55"/>
      <c r="AE9"/>
      <c r="AF9"/>
      <c r="AG9"/>
      <c r="AH9"/>
    </row>
    <row r="10" spans="1:34" s="38" customFormat="1" ht="18.75" x14ac:dyDescent="0.3">
      <c r="A10" s="91"/>
      <c r="B10" s="91"/>
      <c r="C10" s="91"/>
      <c r="D10" s="48"/>
      <c r="E10" s="91"/>
      <c r="F10" s="91"/>
      <c r="G10" s="82" t="s">
        <v>46</v>
      </c>
      <c r="H10" s="20" t="str">
        <f>IF(E6=3,C6,(IF(E7=3,C7,(IF(E8=3,C8,(IF(E9=3,C9,3.1)))))))</f>
        <v>Don Bronsveld</v>
      </c>
      <c r="I10" s="88">
        <v>5.7</v>
      </c>
      <c r="J10" s="18">
        <v>3</v>
      </c>
      <c r="K10" s="91"/>
      <c r="L10" s="80"/>
      <c r="M10" s="80"/>
      <c r="N10" s="214"/>
      <c r="O10" s="80"/>
      <c r="P10" s="80"/>
      <c r="Q10" s="82" t="s">
        <v>46</v>
      </c>
      <c r="R10" s="20" t="str">
        <f>IF(O6=1,M6,(IF(O7=1,M7,(IF(O8=1,M8,(IF(O9=1,M9,1.12)))))))</f>
        <v>Rod Baldwin</v>
      </c>
      <c r="S10" s="88">
        <v>12.83</v>
      </c>
      <c r="T10" s="18">
        <v>1</v>
      </c>
      <c r="U10" s="80"/>
      <c r="V10" s="80"/>
      <c r="W10" s="80"/>
      <c r="X10" s="80"/>
      <c r="Y10" s="80"/>
      <c r="Z10" s="17"/>
      <c r="AA10" s="17"/>
      <c r="AB10" s="17"/>
      <c r="AC10" s="17"/>
      <c r="AD10" s="55"/>
      <c r="AE10"/>
      <c r="AF10"/>
      <c r="AG10"/>
      <c r="AH10"/>
    </row>
    <row r="11" spans="1:34" s="38" customFormat="1" ht="18.75" x14ac:dyDescent="0.3">
      <c r="A11" s="79" t="s">
        <v>70</v>
      </c>
      <c r="B11" s="79"/>
      <c r="C11" s="79"/>
      <c r="D11" s="96"/>
      <c r="E11" s="79">
        <v>2</v>
      </c>
      <c r="F11" s="80"/>
      <c r="G11" s="84" t="s">
        <v>36</v>
      </c>
      <c r="H11" s="20" t="str">
        <f>IF(E12=3,C12,(IF(E13=3,C13,(IF(E14=3,C14,(IF(E15=3,C15,3.2)))))))</f>
        <v>Steve Dean</v>
      </c>
      <c r="I11" s="69">
        <v>12.76</v>
      </c>
      <c r="J11" s="41">
        <v>2</v>
      </c>
      <c r="K11" s="80"/>
      <c r="L11" s="80"/>
      <c r="M11" s="80"/>
      <c r="N11" s="214"/>
      <c r="O11" s="80"/>
      <c r="P11" s="80"/>
      <c r="Q11" s="84" t="s">
        <v>36</v>
      </c>
      <c r="R11" s="20" t="str">
        <f>IF(O7=2,M7,(IF(O8=2,M8,(IF(O9=2,M9,(IF(O6=2,M6,2.12)))))))</f>
        <v>Michael Hoysted</v>
      </c>
      <c r="S11" s="69">
        <v>10.14</v>
      </c>
      <c r="T11" s="41">
        <v>3</v>
      </c>
      <c r="U11" s="80"/>
      <c r="V11" s="70" t="s">
        <v>17</v>
      </c>
      <c r="W11" s="95"/>
      <c r="X11" s="117" t="s">
        <v>80</v>
      </c>
      <c r="Y11" s="117" t="s">
        <v>81</v>
      </c>
      <c r="Z11" s="17"/>
      <c r="AA11" s="17"/>
      <c r="AB11" s="17"/>
      <c r="AC11" s="17"/>
      <c r="AD11" s="55"/>
      <c r="AE11"/>
      <c r="AF11"/>
      <c r="AG11"/>
      <c r="AH11"/>
    </row>
    <row r="12" spans="1:34" s="38" customFormat="1" ht="18.75" x14ac:dyDescent="0.3">
      <c r="A12" s="82" t="s">
        <v>46</v>
      </c>
      <c r="B12" s="21">
        <v>6</v>
      </c>
      <c r="C12" s="138" t="s">
        <v>139</v>
      </c>
      <c r="D12" s="212" t="s">
        <v>194</v>
      </c>
      <c r="E12" s="210" t="s">
        <v>194</v>
      </c>
      <c r="F12" s="91"/>
      <c r="G12" s="92" t="s">
        <v>47</v>
      </c>
      <c r="H12" s="31" t="str">
        <f>IF(E18=4,C18,(IF(E19=4,C19,(IF(E20=4,C20,(IF(E21=4,C21,4.3)))))))</f>
        <v>Dean Bradley</v>
      </c>
      <c r="I12" s="20">
        <v>13.67</v>
      </c>
      <c r="J12" s="35">
        <v>1</v>
      </c>
      <c r="K12" s="91"/>
      <c r="L12" s="79" t="s">
        <v>93</v>
      </c>
      <c r="M12" s="79" t="s">
        <v>75</v>
      </c>
      <c r="N12" s="96"/>
      <c r="O12" s="79">
        <v>13</v>
      </c>
      <c r="P12" s="80"/>
      <c r="Q12" s="85" t="s">
        <v>47</v>
      </c>
      <c r="R12" s="119" t="str">
        <f>IF(O13=1,M13,(IF(O14=1,M14,(IF(O15=1,M15,(IF(O16=1,M16,1.13)))))))</f>
        <v>David Hammond</v>
      </c>
      <c r="S12" s="88">
        <v>12.67</v>
      </c>
      <c r="T12" s="18">
        <v>2</v>
      </c>
      <c r="U12" s="80"/>
      <c r="V12" s="70"/>
      <c r="W12" s="70"/>
      <c r="X12" s="70"/>
      <c r="Y12" s="79">
        <v>18</v>
      </c>
      <c r="Z12" s="17"/>
      <c r="AA12" s="17"/>
      <c r="AB12" s="17"/>
      <c r="AC12" s="17"/>
      <c r="AD12" s="55"/>
      <c r="AE12"/>
      <c r="AF12"/>
      <c r="AG12"/>
      <c r="AH12"/>
    </row>
    <row r="13" spans="1:34" s="38" customFormat="1" ht="18.75" x14ac:dyDescent="0.3">
      <c r="A13" s="84" t="s">
        <v>36</v>
      </c>
      <c r="B13" s="35">
        <v>7</v>
      </c>
      <c r="C13" s="83" t="s">
        <v>140</v>
      </c>
      <c r="D13" s="44">
        <v>13.6</v>
      </c>
      <c r="E13" s="35">
        <v>1</v>
      </c>
      <c r="F13" s="91"/>
      <c r="G13" s="86" t="s">
        <v>48</v>
      </c>
      <c r="H13" s="31">
        <f>IF(E24=4,C24,(IF(E25=4,C25,(IF(E26=4,C26,(IF(E27=4,C27,4.4)))))))</f>
        <v>4.4000000000000004</v>
      </c>
      <c r="I13" s="20"/>
      <c r="J13" s="35"/>
      <c r="K13" s="91"/>
      <c r="L13" s="82" t="s">
        <v>46</v>
      </c>
      <c r="M13" s="43" t="str">
        <f>IF(E6=2,C6,(IF(E7=2,C7,(IF(E8=2,C8,(IF(E9=2,C9,2.1)))))))</f>
        <v>Richard Sargeson</v>
      </c>
      <c r="N13" s="20">
        <v>3.2</v>
      </c>
      <c r="O13" s="21">
        <v>2</v>
      </c>
      <c r="P13" s="80"/>
      <c r="Q13" s="86" t="s">
        <v>48</v>
      </c>
      <c r="R13" s="119" t="str">
        <f>IF(O14=2,M14,(IF(O15=2,M15,(IF(O16=2,M16,(IF(O13=2,M13,2.13)))))))</f>
        <v>Richard Sargeson</v>
      </c>
      <c r="S13" s="89">
        <v>7.07</v>
      </c>
      <c r="T13" s="19">
        <v>4</v>
      </c>
      <c r="U13" s="80"/>
      <c r="V13" s="82" t="s">
        <v>46</v>
      </c>
      <c r="W13" s="20" t="str">
        <f>IF(T10=1,R10,(IF(T11=1,R11,(IF(T12=1,R12,(IF(T13=1,R13,1.16)))))))</f>
        <v>Rod Baldwin</v>
      </c>
      <c r="X13" s="74">
        <v>12.33</v>
      </c>
      <c r="Y13" s="73">
        <v>2</v>
      </c>
      <c r="Z13" s="17"/>
      <c r="AA13" s="17"/>
      <c r="AB13" s="17"/>
      <c r="AC13" s="17"/>
      <c r="AD13" s="55"/>
      <c r="AE13"/>
      <c r="AF13"/>
      <c r="AG13"/>
      <c r="AH13"/>
    </row>
    <row r="14" spans="1:34" s="38" customFormat="1" ht="18.75" x14ac:dyDescent="0.3">
      <c r="A14" s="85" t="s">
        <v>47</v>
      </c>
      <c r="B14" s="35">
        <v>18</v>
      </c>
      <c r="C14" s="87" t="s">
        <v>179</v>
      </c>
      <c r="D14" s="44">
        <v>8.24</v>
      </c>
      <c r="E14" s="35">
        <v>3</v>
      </c>
      <c r="F14" s="91"/>
      <c r="G14" s="91"/>
      <c r="H14" s="48"/>
      <c r="I14" s="48"/>
      <c r="J14" s="91"/>
      <c r="K14" s="91"/>
      <c r="L14" s="84" t="s">
        <v>36</v>
      </c>
      <c r="M14" s="44" t="str">
        <f>IF(E12=1,C12,(IF(E13=1,C13,(IF(E14=1,C14,(IF(E15=1,C14,1.2)))))))</f>
        <v>David Hammond</v>
      </c>
      <c r="N14" s="20">
        <v>6.73</v>
      </c>
      <c r="O14" s="35">
        <v>1</v>
      </c>
      <c r="P14" s="80"/>
      <c r="Q14" s="91"/>
      <c r="R14" s="48"/>
      <c r="S14" s="48"/>
      <c r="T14" s="91"/>
      <c r="U14" s="80"/>
      <c r="V14" s="84" t="s">
        <v>36</v>
      </c>
      <c r="W14" s="20" t="str">
        <f>IF(T10=2,R10,(IF(T11=2,R11,(IF(T12=2,R12,(IF(T13=2,R13,2.16)))))))</f>
        <v>David Hammond</v>
      </c>
      <c r="X14" s="20">
        <v>10.64</v>
      </c>
      <c r="Y14" s="83">
        <v>3</v>
      </c>
      <c r="Z14" s="17"/>
      <c r="AA14" s="17"/>
      <c r="AB14" s="17"/>
      <c r="AC14" s="17"/>
      <c r="AD14" s="55"/>
      <c r="AE14"/>
      <c r="AF14"/>
      <c r="AG14"/>
      <c r="AH14"/>
    </row>
    <row r="15" spans="1:34" s="38" customFormat="1" ht="18.75" x14ac:dyDescent="0.3">
      <c r="A15" s="86" t="s">
        <v>48</v>
      </c>
      <c r="B15" s="36">
        <v>19</v>
      </c>
      <c r="C15" s="87" t="s">
        <v>141</v>
      </c>
      <c r="D15" s="45">
        <v>8.8000000000000007</v>
      </c>
      <c r="E15" s="36">
        <v>2</v>
      </c>
      <c r="F15" s="91"/>
      <c r="G15" s="79" t="s">
        <v>74</v>
      </c>
      <c r="H15" s="79"/>
      <c r="I15" s="96"/>
      <c r="J15" s="79">
        <v>8</v>
      </c>
      <c r="K15" s="80"/>
      <c r="L15" s="85" t="s">
        <v>47</v>
      </c>
      <c r="M15" s="43" t="s">
        <v>180</v>
      </c>
      <c r="N15" s="215" t="s">
        <v>194</v>
      </c>
      <c r="O15" s="63" t="s">
        <v>194</v>
      </c>
      <c r="P15" s="80"/>
      <c r="Q15" s="79" t="s">
        <v>74</v>
      </c>
      <c r="R15" s="96"/>
      <c r="S15" s="96"/>
      <c r="T15" s="79">
        <v>17</v>
      </c>
      <c r="U15" s="80"/>
      <c r="V15" s="85" t="s">
        <v>47</v>
      </c>
      <c r="W15" s="20" t="str">
        <f>IF(T16=1,R16,(IF(T17=1,R17,(IF(T18=1,R18,(IF(T19=1,R19,1.17)))))))</f>
        <v>Glenn Valaire</v>
      </c>
      <c r="X15" s="37">
        <v>15.5</v>
      </c>
      <c r="Y15" s="76">
        <v>1</v>
      </c>
      <c r="Z15" s="17"/>
      <c r="AA15" s="17"/>
      <c r="AB15" s="17"/>
      <c r="AC15" s="17"/>
      <c r="AD15" s="55"/>
      <c r="AE15"/>
      <c r="AF15"/>
      <c r="AG15"/>
      <c r="AH15"/>
    </row>
    <row r="16" spans="1:34" s="38" customFormat="1" ht="18.75" x14ac:dyDescent="0.3">
      <c r="A16" s="91"/>
      <c r="B16" s="91"/>
      <c r="C16" s="91"/>
      <c r="D16" s="48"/>
      <c r="E16" s="91"/>
      <c r="F16" s="91"/>
      <c r="G16" s="82" t="s">
        <v>46</v>
      </c>
      <c r="H16" s="20" t="str">
        <f>IF(E6=4,C6,(IF(E7=4,C7,(IF(E8=4,C8,(IF(E9=4,C9,4.1)))))))</f>
        <v>Greg Gillespie</v>
      </c>
      <c r="I16" s="20">
        <v>1.33</v>
      </c>
      <c r="J16" s="35">
        <v>4</v>
      </c>
      <c r="K16" s="80"/>
      <c r="L16" s="86" t="s">
        <v>48</v>
      </c>
      <c r="M16" s="121" t="str">
        <f>IF(J30=1,H30,(IF(J31=1,H31,(IF(J32=1,H32,1.1)))))</f>
        <v>Dean Bradley</v>
      </c>
      <c r="N16" s="215" t="s">
        <v>194</v>
      </c>
      <c r="O16" s="63" t="s">
        <v>194</v>
      </c>
      <c r="P16" s="80"/>
      <c r="Q16" s="82" t="s">
        <v>46</v>
      </c>
      <c r="R16" s="43" t="str">
        <f>IF(O20=1,M20,(IF(O21=1,M21,(IF(O22=1,M22,(IF(O23=1,M23,1.14)))))))</f>
        <v>Glenn Valaire</v>
      </c>
      <c r="S16" s="20">
        <v>13.84</v>
      </c>
      <c r="T16" s="21">
        <v>1</v>
      </c>
      <c r="U16" s="80"/>
      <c r="V16" s="86" t="s">
        <v>48</v>
      </c>
      <c r="W16" s="20" t="s">
        <v>149</v>
      </c>
      <c r="X16" s="37">
        <v>9.74</v>
      </c>
      <c r="Y16" s="76">
        <v>4</v>
      </c>
      <c r="Z16" s="17"/>
      <c r="AA16" s="17"/>
      <c r="AB16" s="17"/>
      <c r="AC16" s="17"/>
      <c r="AD16" s="55"/>
      <c r="AE16"/>
      <c r="AF16"/>
      <c r="AG16"/>
      <c r="AH16"/>
    </row>
    <row r="17" spans="1:34" s="38" customFormat="1" ht="18.75" x14ac:dyDescent="0.3">
      <c r="A17" s="79" t="s">
        <v>73</v>
      </c>
      <c r="B17" s="79"/>
      <c r="C17" s="79"/>
      <c r="D17" s="96"/>
      <c r="E17" s="79">
        <v>3</v>
      </c>
      <c r="F17" s="80"/>
      <c r="G17" s="84" t="s">
        <v>36</v>
      </c>
      <c r="H17" s="120" t="s">
        <v>147</v>
      </c>
      <c r="I17" s="20">
        <v>6.8</v>
      </c>
      <c r="J17" s="35">
        <v>3</v>
      </c>
      <c r="K17" s="80"/>
      <c r="L17" s="95"/>
      <c r="M17" s="95"/>
      <c r="N17" s="218"/>
      <c r="O17" s="95"/>
      <c r="P17" s="80"/>
      <c r="Q17" s="84" t="s">
        <v>36</v>
      </c>
      <c r="R17" s="43" t="str">
        <f>IF(O21=2,M21,(IF(O22=2,M22,(IF(O23=2,M23,(IF(O20=2,M20,2.14)))))))</f>
        <v>Maris Luidmanis</v>
      </c>
      <c r="S17" s="20">
        <v>8.24</v>
      </c>
      <c r="T17" s="35">
        <v>4</v>
      </c>
      <c r="U17" s="80"/>
      <c r="V17" s="95"/>
      <c r="W17" s="95"/>
      <c r="X17" s="95"/>
      <c r="Y17" s="95"/>
      <c r="Z17" s="17"/>
      <c r="AA17" s="17"/>
      <c r="AB17" s="17"/>
      <c r="AC17" s="17"/>
      <c r="AD17" s="55"/>
      <c r="AE17"/>
      <c r="AF17"/>
      <c r="AG17"/>
      <c r="AH17"/>
    </row>
    <row r="18" spans="1:34" s="38" customFormat="1" ht="18.75" x14ac:dyDescent="0.3">
      <c r="A18" s="82" t="s">
        <v>46</v>
      </c>
      <c r="B18" s="21">
        <v>4</v>
      </c>
      <c r="C18" s="137" t="s">
        <v>166</v>
      </c>
      <c r="D18" s="43">
        <v>12.83</v>
      </c>
      <c r="E18" s="21">
        <v>1</v>
      </c>
      <c r="F18" s="91"/>
      <c r="G18" s="92" t="s">
        <v>47</v>
      </c>
      <c r="H18" s="31" t="s">
        <v>149</v>
      </c>
      <c r="I18" s="20">
        <v>13</v>
      </c>
      <c r="J18" s="35">
        <v>1</v>
      </c>
      <c r="K18" s="80"/>
      <c r="L18" s="79"/>
      <c r="M18" s="80"/>
      <c r="N18" s="214"/>
      <c r="O18" s="80"/>
      <c r="P18" s="80"/>
      <c r="Q18" s="85" t="s">
        <v>47</v>
      </c>
      <c r="R18" s="44" t="str">
        <f>IF(O27=1,M27,(IF(O28=1,M28,(IF(O29=1,M29,(IF(O30=1,M30,1.15)))))))</f>
        <v>Mark Tickle</v>
      </c>
      <c r="S18" s="20">
        <v>11.37</v>
      </c>
      <c r="T18" s="35">
        <v>2</v>
      </c>
      <c r="U18" s="80"/>
      <c r="V18" s="80"/>
      <c r="W18" s="80"/>
      <c r="X18" s="80"/>
      <c r="Y18" s="80"/>
      <c r="Z18" s="17"/>
      <c r="AA18" s="17"/>
      <c r="AB18" s="17"/>
      <c r="AC18" s="17"/>
      <c r="AD18" s="55"/>
      <c r="AE18"/>
      <c r="AF18"/>
      <c r="AG18"/>
      <c r="AH18"/>
    </row>
    <row r="19" spans="1:34" s="38" customFormat="1" ht="18.75" x14ac:dyDescent="0.3">
      <c r="A19" s="84" t="s">
        <v>36</v>
      </c>
      <c r="B19" s="35">
        <v>9</v>
      </c>
      <c r="C19" s="83" t="s">
        <v>142</v>
      </c>
      <c r="D19" s="44">
        <v>9.9700000000000006</v>
      </c>
      <c r="E19" s="35">
        <v>4</v>
      </c>
      <c r="F19" s="91"/>
      <c r="G19" s="86" t="s">
        <v>48</v>
      </c>
      <c r="H19" s="31" t="s">
        <v>205</v>
      </c>
      <c r="I19" s="20">
        <v>9.83</v>
      </c>
      <c r="J19" s="35">
        <v>2</v>
      </c>
      <c r="K19" s="91"/>
      <c r="L19" s="79" t="s">
        <v>94</v>
      </c>
      <c r="M19" s="79" t="s">
        <v>75</v>
      </c>
      <c r="N19" s="96"/>
      <c r="O19" s="79">
        <v>14</v>
      </c>
      <c r="P19" s="80"/>
      <c r="Q19" s="86" t="s">
        <v>48</v>
      </c>
      <c r="R19" s="44" t="str">
        <f>IF(O28=2,M28,(IF(O29=2,M29,(IF(O30=2,M30,(IF(O27=2,M27,2.15)))))))</f>
        <v>Matt Hucker</v>
      </c>
      <c r="S19" s="20">
        <v>10.43</v>
      </c>
      <c r="T19" s="36">
        <v>3</v>
      </c>
      <c r="U19" s="80"/>
      <c r="V19" s="80"/>
      <c r="W19" s="80"/>
      <c r="X19" s="80"/>
      <c r="Y19" s="80"/>
      <c r="Z19" s="17"/>
      <c r="AA19" s="54"/>
      <c r="AB19" s="53"/>
      <c r="AC19" s="53"/>
      <c r="AD19" s="55"/>
      <c r="AE19"/>
      <c r="AF19"/>
      <c r="AG19"/>
      <c r="AH19"/>
    </row>
    <row r="20" spans="1:34" s="38" customFormat="1" ht="18.75" x14ac:dyDescent="0.3">
      <c r="A20" s="85" t="s">
        <v>47</v>
      </c>
      <c r="B20" s="35">
        <v>16</v>
      </c>
      <c r="C20" s="137" t="s">
        <v>180</v>
      </c>
      <c r="D20" s="44">
        <v>11.9</v>
      </c>
      <c r="E20" s="35">
        <v>2</v>
      </c>
      <c r="F20" s="91"/>
      <c r="G20" s="80"/>
      <c r="H20" s="80"/>
      <c r="I20" s="214"/>
      <c r="J20" s="80"/>
      <c r="K20" s="91"/>
      <c r="L20" s="82" t="s">
        <v>46</v>
      </c>
      <c r="M20" s="44" t="s">
        <v>118</v>
      </c>
      <c r="N20" s="20">
        <v>10.96</v>
      </c>
      <c r="O20" s="21">
        <v>2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17"/>
      <c r="AA20" s="53"/>
      <c r="AB20" s="28"/>
      <c r="AC20" s="54"/>
      <c r="AD20" s="55"/>
      <c r="AE20"/>
      <c r="AF20"/>
      <c r="AG20"/>
      <c r="AH20"/>
    </row>
    <row r="21" spans="1:34" s="38" customFormat="1" ht="18.75" x14ac:dyDescent="0.3">
      <c r="A21" s="93" t="s">
        <v>48</v>
      </c>
      <c r="B21" s="35">
        <v>21</v>
      </c>
      <c r="C21" s="137" t="s">
        <v>181</v>
      </c>
      <c r="D21" s="44">
        <v>11.5</v>
      </c>
      <c r="E21" s="35">
        <v>3</v>
      </c>
      <c r="F21" s="91"/>
      <c r="G21" s="79" t="s">
        <v>77</v>
      </c>
      <c r="H21"/>
      <c r="I21" s="180"/>
      <c r="J21" s="118">
        <v>9</v>
      </c>
      <c r="K21" s="91"/>
      <c r="L21" s="84" t="s">
        <v>36</v>
      </c>
      <c r="M21" s="44" t="s">
        <v>145</v>
      </c>
      <c r="N21" s="20">
        <v>8.64</v>
      </c>
      <c r="O21" s="35">
        <v>3</v>
      </c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17"/>
      <c r="AA21" s="126"/>
      <c r="AB21" s="28"/>
      <c r="AC21" s="54"/>
      <c r="AD21" s="55"/>
      <c r="AE21"/>
      <c r="AF21"/>
      <c r="AG21"/>
      <c r="AH21"/>
    </row>
    <row r="22" spans="1:34" s="38" customFormat="1" ht="18.75" x14ac:dyDescent="0.3">
      <c r="A22"/>
      <c r="B22"/>
      <c r="C22"/>
      <c r="D22" s="180"/>
      <c r="E22"/>
      <c r="F22"/>
      <c r="G22" s="82" t="s">
        <v>46</v>
      </c>
      <c r="H22" s="20" t="s">
        <v>181</v>
      </c>
      <c r="I22" s="20">
        <v>13.66</v>
      </c>
      <c r="J22" s="35">
        <v>1</v>
      </c>
      <c r="K22"/>
      <c r="L22" s="85" t="s">
        <v>47</v>
      </c>
      <c r="M22" s="44" t="s">
        <v>203</v>
      </c>
      <c r="N22" s="20">
        <v>11.5</v>
      </c>
      <c r="O22" s="35">
        <v>1</v>
      </c>
      <c r="P22"/>
      <c r="Q22"/>
      <c r="R22"/>
      <c r="S22"/>
      <c r="T22"/>
      <c r="U22"/>
      <c r="V22"/>
      <c r="W22"/>
      <c r="X22"/>
      <c r="Y22"/>
      <c r="Z22" s="17"/>
      <c r="AA22" s="126"/>
      <c r="AB22" s="28"/>
      <c r="AC22" s="54"/>
      <c r="AD22" s="55"/>
      <c r="AE22"/>
      <c r="AF22"/>
      <c r="AG22"/>
      <c r="AH22"/>
    </row>
    <row r="23" spans="1:34" s="38" customFormat="1" ht="18.75" x14ac:dyDescent="0.3">
      <c r="A23" s="79" t="s">
        <v>76</v>
      </c>
      <c r="B23" s="79"/>
      <c r="C23" s="79"/>
      <c r="D23" s="96"/>
      <c r="E23" s="79">
        <v>4</v>
      </c>
      <c r="F23"/>
      <c r="G23" s="84" t="s">
        <v>36</v>
      </c>
      <c r="H23" s="31" t="s">
        <v>134</v>
      </c>
      <c r="I23" s="20">
        <v>8.33</v>
      </c>
      <c r="J23" s="35">
        <v>4</v>
      </c>
      <c r="K23"/>
      <c r="L23" s="86" t="s">
        <v>48</v>
      </c>
      <c r="M23" s="31" t="str">
        <f>IF(J37=2,H37,(IF(J38=2,H38,(IF(J36=2,H36,2.11)))))</f>
        <v>Steve Dean</v>
      </c>
      <c r="N23" s="20">
        <v>4.5</v>
      </c>
      <c r="O23" s="35">
        <v>4</v>
      </c>
      <c r="P23"/>
      <c r="Q23"/>
      <c r="R23"/>
      <c r="S23"/>
      <c r="T23"/>
      <c r="U23"/>
      <c r="V23"/>
      <c r="W23"/>
      <c r="X23"/>
      <c r="Y23"/>
      <c r="Z23" s="17"/>
      <c r="AA23" s="126"/>
      <c r="AB23" s="28"/>
      <c r="AC23" s="54"/>
      <c r="AD23" s="55"/>
      <c r="AE23"/>
      <c r="AF23"/>
      <c r="AG23"/>
      <c r="AH23"/>
    </row>
    <row r="24" spans="1:34" s="38" customFormat="1" ht="18.75" x14ac:dyDescent="0.3">
      <c r="A24" s="82" t="s">
        <v>46</v>
      </c>
      <c r="B24" s="21">
        <v>3</v>
      </c>
      <c r="C24" s="83" t="s">
        <v>143</v>
      </c>
      <c r="D24" s="212" t="s">
        <v>194</v>
      </c>
      <c r="E24" s="210" t="s">
        <v>194</v>
      </c>
      <c r="F24"/>
      <c r="G24" s="92" t="s">
        <v>47</v>
      </c>
      <c r="H24" s="31" t="str">
        <f>IF(E30=4,C30,(IF(E31=4,C31,(IF(E32=4,C32,(IF(E33=4,C33,4.5)))))))</f>
        <v>Scott Henderson</v>
      </c>
      <c r="I24" s="20">
        <v>10.1</v>
      </c>
      <c r="J24" s="35">
        <v>2</v>
      </c>
      <c r="K24"/>
      <c r="L24" s="80"/>
      <c r="M24" s="80"/>
      <c r="N24" s="214"/>
      <c r="O24" s="80"/>
      <c r="P24"/>
      <c r="Q24"/>
      <c r="R24"/>
      <c r="S24"/>
      <c r="T24"/>
      <c r="U24"/>
      <c r="V24"/>
      <c r="W24"/>
      <c r="X24"/>
      <c r="Y24"/>
      <c r="Z24" s="17"/>
      <c r="AA24" s="17"/>
      <c r="AB24" s="17"/>
      <c r="AC24" s="17"/>
      <c r="AD24" s="55"/>
      <c r="AE24"/>
      <c r="AF24"/>
      <c r="AG24"/>
      <c r="AH24"/>
    </row>
    <row r="25" spans="1:34" s="38" customFormat="1" ht="18.75" x14ac:dyDescent="0.3">
      <c r="A25" s="84" t="s">
        <v>36</v>
      </c>
      <c r="B25" s="35">
        <v>10</v>
      </c>
      <c r="C25" s="138" t="s">
        <v>134</v>
      </c>
      <c r="D25" s="44">
        <v>8.1</v>
      </c>
      <c r="E25" s="35">
        <v>3</v>
      </c>
      <c r="F25"/>
      <c r="G25" s="86" t="s">
        <v>48</v>
      </c>
      <c r="H25" s="31" t="str">
        <f>IF(E36=4,C36,(IF(E37=4,C37,(IF(E38=4,C38,(IF(E39=4,C39,4.6)))))))</f>
        <v>Mark Morgenthal</v>
      </c>
      <c r="I25" s="20">
        <v>9.1</v>
      </c>
      <c r="J25" s="35">
        <v>3</v>
      </c>
      <c r="K25"/>
      <c r="L25" s="80"/>
      <c r="M25" s="80"/>
      <c r="N25" s="214"/>
      <c r="O25" s="80"/>
      <c r="P25"/>
      <c r="Q25"/>
      <c r="R25"/>
      <c r="S25"/>
      <c r="T25"/>
      <c r="U25"/>
      <c r="V25"/>
      <c r="W25"/>
      <c r="X25"/>
      <c r="Y25"/>
      <c r="Z25" s="17"/>
      <c r="AA25" s="17"/>
      <c r="AB25" s="17"/>
      <c r="AC25" s="17"/>
      <c r="AD25" s="55"/>
      <c r="AE25"/>
      <c r="AF25"/>
      <c r="AG25"/>
      <c r="AH25"/>
    </row>
    <row r="26" spans="1:34" s="38" customFormat="1" ht="18.75" x14ac:dyDescent="0.3">
      <c r="A26" s="85" t="s">
        <v>47</v>
      </c>
      <c r="B26" s="35">
        <v>15</v>
      </c>
      <c r="C26" s="83" t="s">
        <v>118</v>
      </c>
      <c r="D26" s="44">
        <v>11.14</v>
      </c>
      <c r="E26" s="35">
        <v>1</v>
      </c>
      <c r="F26"/>
      <c r="G26"/>
      <c r="H26"/>
      <c r="I26" s="180"/>
      <c r="J26"/>
      <c r="K26"/>
      <c r="L26" s="79" t="s">
        <v>95</v>
      </c>
      <c r="M26" s="79" t="s">
        <v>75</v>
      </c>
      <c r="N26" s="96"/>
      <c r="O26" s="79">
        <v>15</v>
      </c>
      <c r="P26"/>
      <c r="Q26"/>
      <c r="R26"/>
      <c r="S26"/>
      <c r="T26"/>
      <c r="U26"/>
      <c r="V26"/>
      <c r="W26"/>
      <c r="X26"/>
      <c r="Y26"/>
      <c r="Z26" s="17"/>
      <c r="AA26" s="17"/>
      <c r="AB26" s="17"/>
      <c r="AC26" s="17"/>
      <c r="AD26" s="55"/>
      <c r="AE26"/>
      <c r="AF26"/>
      <c r="AG26"/>
      <c r="AH26"/>
    </row>
    <row r="27" spans="1:34" s="38" customFormat="1" ht="18.75" x14ac:dyDescent="0.3">
      <c r="A27" s="93" t="s">
        <v>48</v>
      </c>
      <c r="B27" s="35">
        <v>22</v>
      </c>
      <c r="C27" s="168" t="s">
        <v>151</v>
      </c>
      <c r="D27" s="44">
        <v>9.8000000000000007</v>
      </c>
      <c r="E27" s="35">
        <v>2</v>
      </c>
      <c r="F27"/>
      <c r="G27"/>
      <c r="H27"/>
      <c r="I27" s="180"/>
      <c r="J27"/>
      <c r="K27"/>
      <c r="L27" s="82" t="s">
        <v>46</v>
      </c>
      <c r="M27" s="44" t="s">
        <v>151</v>
      </c>
      <c r="N27" s="20">
        <v>5.33</v>
      </c>
      <c r="O27" s="21">
        <v>4</v>
      </c>
      <c r="P27"/>
      <c r="Q27"/>
      <c r="R27"/>
      <c r="S27"/>
      <c r="T27"/>
      <c r="U27"/>
      <c r="V27"/>
      <c r="W27"/>
      <c r="X27"/>
      <c r="Y27"/>
      <c r="Z27" s="17"/>
      <c r="AA27" s="17"/>
      <c r="AB27" s="17"/>
      <c r="AC27" s="17"/>
      <c r="AD27" s="55"/>
      <c r="AE27"/>
      <c r="AF27"/>
      <c r="AG27"/>
      <c r="AH27"/>
    </row>
    <row r="28" spans="1:34" s="38" customFormat="1" ht="18.75" x14ac:dyDescent="0.3">
      <c r="A28"/>
      <c r="B28"/>
      <c r="C28"/>
      <c r="D28" s="180"/>
      <c r="E28"/>
      <c r="F28"/>
      <c r="G28" s="79" t="s">
        <v>71</v>
      </c>
      <c r="H28" s="80"/>
      <c r="I28" s="117" t="s">
        <v>80</v>
      </c>
      <c r="J28" s="117" t="s">
        <v>81</v>
      </c>
      <c r="K28"/>
      <c r="L28" s="84" t="s">
        <v>36</v>
      </c>
      <c r="M28" s="44" t="s">
        <v>144</v>
      </c>
      <c r="N28" s="20">
        <v>8.1999999999999993</v>
      </c>
      <c r="O28" s="35">
        <v>3</v>
      </c>
      <c r="P28"/>
      <c r="Q28"/>
      <c r="R28"/>
      <c r="S28"/>
      <c r="T28"/>
      <c r="U28"/>
      <c r="V28"/>
      <c r="W28"/>
      <c r="X28"/>
      <c r="Y28"/>
      <c r="Z28" s="17"/>
      <c r="AA28" s="17"/>
      <c r="AB28" s="17"/>
      <c r="AC28" s="17"/>
      <c r="AD28" s="55"/>
      <c r="AE28"/>
      <c r="AF28"/>
      <c r="AG28"/>
      <c r="AH28"/>
    </row>
    <row r="29" spans="1:34" s="38" customFormat="1" ht="18.75" x14ac:dyDescent="0.3">
      <c r="A29" s="79" t="s">
        <v>78</v>
      </c>
      <c r="B29" s="79"/>
      <c r="C29" s="79"/>
      <c r="D29" s="96"/>
      <c r="E29" s="79">
        <v>5</v>
      </c>
      <c r="F29"/>
      <c r="G29" s="79" t="s">
        <v>69</v>
      </c>
      <c r="H29" s="79"/>
      <c r="I29" s="96"/>
      <c r="J29" s="79">
        <v>10</v>
      </c>
      <c r="K29"/>
      <c r="L29" s="85" t="s">
        <v>47</v>
      </c>
      <c r="M29" s="44" t="s">
        <v>195</v>
      </c>
      <c r="N29" s="20">
        <v>8.8699999999999992</v>
      </c>
      <c r="O29" s="35">
        <v>2</v>
      </c>
      <c r="P29"/>
      <c r="Q29"/>
      <c r="R29"/>
      <c r="S29"/>
      <c r="T29"/>
      <c r="U29"/>
      <c r="V29"/>
      <c r="W29"/>
      <c r="X29"/>
      <c r="Y29"/>
      <c r="Z29" s="17"/>
      <c r="AA29" s="17"/>
      <c r="AB29" s="17"/>
      <c r="AC29" s="17"/>
      <c r="AD29" s="55"/>
      <c r="AE29"/>
      <c r="AF29"/>
      <c r="AG29"/>
      <c r="AH29"/>
    </row>
    <row r="30" spans="1:34" s="38" customFormat="1" ht="18.75" x14ac:dyDescent="0.3">
      <c r="A30" s="82" t="s">
        <v>46</v>
      </c>
      <c r="B30" s="21">
        <v>5</v>
      </c>
      <c r="C30" s="138" t="s">
        <v>144</v>
      </c>
      <c r="D30" s="43">
        <v>9.94</v>
      </c>
      <c r="E30" s="21">
        <v>1</v>
      </c>
      <c r="F30"/>
      <c r="G30" s="82" t="s">
        <v>46</v>
      </c>
      <c r="H30" s="31" t="str">
        <f>IF(J10=1,H10,(IF(J11=1,H11,(IF(J12=1,H12,(IF(J13=1,H13,1.7)))))))</f>
        <v>Dean Bradley</v>
      </c>
      <c r="I30" s="88">
        <v>12.63</v>
      </c>
      <c r="J30" s="18">
        <v>1</v>
      </c>
      <c r="K30"/>
      <c r="L30" s="93" t="s">
        <v>48</v>
      </c>
      <c r="M30" s="121" t="str">
        <f>IF(J37=1,H37,(IF(J38=1,H38,(IF(J36=1,H36,1.11)))))</f>
        <v>Mark Tickle</v>
      </c>
      <c r="N30" s="20">
        <v>9.07</v>
      </c>
      <c r="O30" s="35">
        <v>1</v>
      </c>
      <c r="P30"/>
      <c r="Q30"/>
      <c r="R30"/>
      <c r="S30"/>
      <c r="T30"/>
      <c r="U30"/>
      <c r="V30"/>
      <c r="W30"/>
      <c r="X30"/>
      <c r="Y30"/>
      <c r="Z30" s="17"/>
      <c r="AA30" s="17"/>
      <c r="AB30" s="17"/>
      <c r="AC30" s="17"/>
      <c r="AD30" s="55"/>
      <c r="AE30"/>
      <c r="AF30"/>
      <c r="AG30"/>
      <c r="AH30"/>
    </row>
    <row r="31" spans="1:34" s="38" customFormat="1" ht="18.75" x14ac:dyDescent="0.3">
      <c r="A31" s="84" t="s">
        <v>36</v>
      </c>
      <c r="B31" s="35">
        <v>8</v>
      </c>
      <c r="C31" s="83" t="s">
        <v>145</v>
      </c>
      <c r="D31" s="44">
        <v>9.83</v>
      </c>
      <c r="E31" s="35">
        <v>2</v>
      </c>
      <c r="F31"/>
      <c r="G31" s="84" t="s">
        <v>36</v>
      </c>
      <c r="H31" s="31" t="s">
        <v>139</v>
      </c>
      <c r="I31" s="69">
        <v>10.3</v>
      </c>
      <c r="J31" s="41">
        <v>2</v>
      </c>
      <c r="K31"/>
      <c r="L31"/>
      <c r="M31" s="29"/>
      <c r="N31" s="180"/>
      <c r="O31"/>
      <c r="P31"/>
      <c r="Q31"/>
      <c r="R31"/>
      <c r="S31"/>
      <c r="T31"/>
      <c r="U31"/>
      <c r="V31"/>
      <c r="W31"/>
      <c r="X31"/>
      <c r="Y31"/>
      <c r="Z31" s="17"/>
      <c r="AA31" s="17"/>
      <c r="AB31" s="17"/>
      <c r="AC31" s="17"/>
      <c r="AD31" s="55"/>
      <c r="AE31"/>
      <c r="AF31"/>
      <c r="AG31"/>
      <c r="AH31"/>
    </row>
    <row r="32" spans="1:34" s="38" customFormat="1" ht="18.75" x14ac:dyDescent="0.3">
      <c r="A32" s="85" t="s">
        <v>47</v>
      </c>
      <c r="B32" s="35">
        <v>17</v>
      </c>
      <c r="C32" s="83" t="s">
        <v>146</v>
      </c>
      <c r="D32" s="44">
        <v>2</v>
      </c>
      <c r="E32" s="35">
        <v>4</v>
      </c>
      <c r="F32"/>
      <c r="G32" s="92" t="s">
        <v>47</v>
      </c>
      <c r="H32" s="31" t="str">
        <f>IF(J22=2,H22,(IF(J23=2,H23,(IF(J24=2,H24,(IF(J25=2,H25,2.9)))))))</f>
        <v>Scott Henderson</v>
      </c>
      <c r="I32" s="20">
        <v>9.74</v>
      </c>
      <c r="J32" s="35">
        <v>3</v>
      </c>
      <c r="K32"/>
      <c r="L32"/>
      <c r="M32" s="48"/>
      <c r="N32" s="180"/>
      <c r="O32"/>
      <c r="P32"/>
      <c r="Q32"/>
      <c r="R32"/>
      <c r="S32"/>
      <c r="T32"/>
      <c r="U32"/>
      <c r="V32"/>
      <c r="W32"/>
      <c r="X32"/>
      <c r="Y32"/>
      <c r="Z32" s="17"/>
      <c r="AA32" s="17"/>
      <c r="AB32" s="17"/>
      <c r="AC32" s="17"/>
      <c r="AD32" s="55"/>
      <c r="AE32"/>
      <c r="AF32"/>
      <c r="AG32"/>
      <c r="AH32"/>
    </row>
    <row r="33" spans="1:34" s="38" customFormat="1" ht="18.75" x14ac:dyDescent="0.3">
      <c r="A33" s="93" t="s">
        <v>48</v>
      </c>
      <c r="B33" s="35">
        <v>20</v>
      </c>
      <c r="C33" s="137" t="s">
        <v>147</v>
      </c>
      <c r="D33" s="44">
        <v>4.76</v>
      </c>
      <c r="E33" s="35">
        <v>3</v>
      </c>
      <c r="F33"/>
      <c r="G33" s="68"/>
      <c r="H33" s="122"/>
      <c r="I33" s="56"/>
      <c r="J33" s="54"/>
      <c r="K33"/>
      <c r="L33"/>
      <c r="M33" s="48"/>
      <c r="N33" s="180"/>
      <c r="O33"/>
      <c r="P33"/>
      <c r="Q33"/>
      <c r="R33"/>
      <c r="S33"/>
      <c r="T33"/>
      <c r="U33"/>
      <c r="V33"/>
      <c r="W33"/>
      <c r="X33"/>
      <c r="Y33"/>
      <c r="Z33" s="17"/>
      <c r="AA33" s="17"/>
      <c r="AB33" s="17"/>
      <c r="AC33" s="17"/>
      <c r="AD33" s="55"/>
      <c r="AE33"/>
      <c r="AF33"/>
      <c r="AG33"/>
      <c r="AH33"/>
    </row>
    <row r="34" spans="1:34" s="38" customFormat="1" ht="18.75" x14ac:dyDescent="0.3">
      <c r="A34"/>
      <c r="B34"/>
      <c r="C34"/>
      <c r="D34" s="180"/>
      <c r="E34"/>
      <c r="F34"/>
      <c r="G34" s="91"/>
      <c r="H34" s="48"/>
      <c r="I34" s="48"/>
      <c r="J34" s="91"/>
      <c r="K34"/>
      <c r="L34"/>
      <c r="M34" s="29"/>
      <c r="N34" s="180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 s="55"/>
      <c r="AE34"/>
      <c r="AF34"/>
      <c r="AG34"/>
      <c r="AH34"/>
    </row>
    <row r="35" spans="1:34" s="38" customFormat="1" ht="18.75" x14ac:dyDescent="0.3">
      <c r="A35" s="79" t="s">
        <v>79</v>
      </c>
      <c r="B35" s="79"/>
      <c r="C35" s="79"/>
      <c r="D35" s="96"/>
      <c r="E35" s="79">
        <v>6</v>
      </c>
      <c r="F35"/>
      <c r="G35" s="79" t="s">
        <v>74</v>
      </c>
      <c r="H35" s="79"/>
      <c r="I35" s="96"/>
      <c r="J35" s="79">
        <v>11</v>
      </c>
      <c r="K35"/>
      <c r="L35"/>
      <c r="M35" s="123"/>
      <c r="N35" s="18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 s="55"/>
      <c r="AE35"/>
      <c r="AF35"/>
      <c r="AG35"/>
      <c r="AH35"/>
    </row>
    <row r="36" spans="1:34" s="38" customFormat="1" ht="18.75" x14ac:dyDescent="0.3">
      <c r="A36" s="82" t="s">
        <v>46</v>
      </c>
      <c r="B36" s="21">
        <v>2</v>
      </c>
      <c r="C36" s="87" t="s">
        <v>148</v>
      </c>
      <c r="D36" s="43">
        <v>13.77</v>
      </c>
      <c r="E36" s="21">
        <v>1</v>
      </c>
      <c r="F36"/>
      <c r="G36" s="82" t="s">
        <v>46</v>
      </c>
      <c r="H36" s="31" t="str">
        <f>IF(J10=2,H10,(IF(J11=2,H11,(IF(J12=2,H12,(IF(J13=2,H13,2.7)))))))</f>
        <v>Steve Dean</v>
      </c>
      <c r="I36" s="20">
        <v>8.67</v>
      </c>
      <c r="J36" s="35">
        <v>2</v>
      </c>
      <c r="K36"/>
      <c r="L36"/>
      <c r="M36" s="91"/>
      <c r="N36" s="180"/>
      <c r="O36"/>
      <c r="P36"/>
      <c r="Q36"/>
      <c r="R36"/>
      <c r="S36"/>
      <c r="T36"/>
      <c r="U36"/>
      <c r="V36"/>
      <c r="W36"/>
      <c r="X36"/>
      <c r="Y36"/>
      <c r="Z36" s="55"/>
      <c r="AA36" s="55"/>
      <c r="AB36" s="55"/>
      <c r="AC36" s="55"/>
      <c r="AD36" s="55"/>
      <c r="AE36"/>
      <c r="AF36"/>
      <c r="AG36"/>
      <c r="AH36"/>
    </row>
    <row r="37" spans="1:34" s="38" customFormat="1" ht="18.75" x14ac:dyDescent="0.3">
      <c r="A37" s="84" t="s">
        <v>36</v>
      </c>
      <c r="B37" s="35">
        <v>11</v>
      </c>
      <c r="C37" s="83" t="s">
        <v>149</v>
      </c>
      <c r="D37" s="44">
        <v>12.47</v>
      </c>
      <c r="E37" s="35">
        <v>3</v>
      </c>
      <c r="F37"/>
      <c r="G37" s="84" t="s">
        <v>36</v>
      </c>
      <c r="H37" s="31" t="str">
        <f>IF(J16=1,H16,(IF(J17=1,H17,(IF(J18=1,H18,(IF(J19=1,H19,1.8)))))))</f>
        <v>Mark Tickle</v>
      </c>
      <c r="I37" s="20">
        <v>14.9</v>
      </c>
      <c r="J37" s="35">
        <v>1</v>
      </c>
      <c r="K37"/>
      <c r="L37"/>
      <c r="M37" s="91"/>
      <c r="N37" s="180"/>
      <c r="O37"/>
      <c r="P37"/>
      <c r="Q37"/>
      <c r="R37"/>
      <c r="S37"/>
      <c r="T37"/>
      <c r="U37"/>
      <c r="V37"/>
      <c r="W37"/>
      <c r="X37"/>
      <c r="Y37"/>
      <c r="Z37" s="55"/>
      <c r="AA37" s="55"/>
      <c r="AB37" s="55"/>
      <c r="AC37" s="55"/>
      <c r="AD37" s="55"/>
      <c r="AE37"/>
      <c r="AF37"/>
      <c r="AG37"/>
      <c r="AH37"/>
    </row>
    <row r="38" spans="1:34" s="38" customFormat="1" ht="18.75" x14ac:dyDescent="0.3">
      <c r="A38" s="85" t="s">
        <v>47</v>
      </c>
      <c r="B38" s="35">
        <v>14</v>
      </c>
      <c r="C38" s="138" t="s">
        <v>126</v>
      </c>
      <c r="D38" s="44">
        <v>5.36</v>
      </c>
      <c r="E38" s="35">
        <v>4</v>
      </c>
      <c r="F38"/>
      <c r="G38" s="92" t="s">
        <v>47</v>
      </c>
      <c r="H38" s="31" t="str">
        <f>IF(J22=1,H22,(IF(J23=1,H23,(IF(J24=1,H24,(IF(J25=1,H25,1.9)))))))</f>
        <v>Kevin Slattery</v>
      </c>
      <c r="I38" s="20">
        <v>7.9</v>
      </c>
      <c r="J38" s="35">
        <v>3</v>
      </c>
      <c r="K38"/>
      <c r="L38"/>
      <c r="M38" s="46"/>
      <c r="N38" s="180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38" customFormat="1" ht="18.75" x14ac:dyDescent="0.3">
      <c r="A39" s="93" t="s">
        <v>48</v>
      </c>
      <c r="B39" s="35">
        <v>23</v>
      </c>
      <c r="C39" s="168" t="s">
        <v>195</v>
      </c>
      <c r="D39" s="44">
        <v>13.3</v>
      </c>
      <c r="E39" s="35">
        <v>2</v>
      </c>
      <c r="F39"/>
      <c r="G39" s="68"/>
      <c r="H39" s="122"/>
      <c r="I39" s="56"/>
      <c r="J39" s="54"/>
      <c r="K39"/>
      <c r="L39"/>
      <c r="M39" s="48"/>
      <c r="N39" s="180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38" customFormat="1" ht="18.75" x14ac:dyDescent="0.3">
      <c r="A40"/>
      <c r="B40"/>
      <c r="C40"/>
      <c r="D40" s="180"/>
      <c r="E40"/>
      <c r="F40"/>
      <c r="G40"/>
      <c r="H40"/>
      <c r="I40" s="180"/>
      <c r="J40"/>
      <c r="K40"/>
      <c r="L40"/>
      <c r="M40" s="48"/>
      <c r="N40" s="18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38" customFormat="1" x14ac:dyDescent="0.2">
      <c r="A41"/>
      <c r="B41"/>
      <c r="C41"/>
      <c r="D41" s="180"/>
      <c r="E41"/>
      <c r="F41"/>
      <c r="G41"/>
      <c r="H41"/>
      <c r="I41" s="180"/>
      <c r="J41"/>
      <c r="K41"/>
      <c r="L41"/>
      <c r="M41" s="29"/>
      <c r="N41" s="180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38" customFormat="1" ht="21" x14ac:dyDescent="0.25">
      <c r="A42"/>
      <c r="B42"/>
      <c r="C42" s="77"/>
      <c r="D42" s="180"/>
      <c r="E42"/>
      <c r="F42"/>
      <c r="G42"/>
      <c r="H42"/>
      <c r="I42" s="180"/>
      <c r="J42"/>
      <c r="K42"/>
      <c r="L42"/>
      <c r="M42" s="123"/>
      <c r="N42" s="180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38" customFormat="1" ht="19" x14ac:dyDescent="0.25">
      <c r="A43"/>
      <c r="B43"/>
      <c r="C43"/>
      <c r="D43" s="180"/>
      <c r="E43"/>
      <c r="F43"/>
      <c r="G43"/>
      <c r="H43"/>
      <c r="I43" s="180"/>
      <c r="J43"/>
      <c r="K43"/>
      <c r="L43"/>
      <c r="M43" s="47"/>
      <c r="N43" s="180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38" customFormat="1" ht="19" x14ac:dyDescent="0.25">
      <c r="A44"/>
      <c r="B44"/>
      <c r="C44"/>
      <c r="D44" s="180"/>
      <c r="E44"/>
      <c r="F44"/>
      <c r="G44"/>
      <c r="H44"/>
      <c r="I44" s="180"/>
      <c r="J44"/>
      <c r="K44"/>
      <c r="L44"/>
      <c r="M44" s="91"/>
      <c r="N44" s="180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38" customFormat="1" ht="19" x14ac:dyDescent="0.25">
      <c r="A45"/>
      <c r="B45"/>
      <c r="C45"/>
      <c r="D45" s="180"/>
      <c r="E45"/>
      <c r="F45"/>
      <c r="G45"/>
      <c r="H45"/>
      <c r="I45" s="180"/>
      <c r="J45"/>
      <c r="K45"/>
      <c r="L45"/>
      <c r="M45" s="46"/>
      <c r="N45" s="180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38" customFormat="1" x14ac:dyDescent="0.2">
      <c r="A46"/>
      <c r="B46"/>
      <c r="C46"/>
      <c r="D46" s="180"/>
      <c r="E46"/>
      <c r="F46"/>
      <c r="G46"/>
      <c r="H46"/>
      <c r="I46" s="180"/>
      <c r="J46"/>
      <c r="K46"/>
      <c r="L46"/>
      <c r="M46" s="29"/>
      <c r="N46" s="180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38" customFormat="1" x14ac:dyDescent="0.2">
      <c r="A47"/>
      <c r="B47"/>
      <c r="C47"/>
      <c r="D47" s="180"/>
      <c r="E47"/>
      <c r="F47"/>
      <c r="G47"/>
      <c r="H47"/>
      <c r="I47" s="180"/>
      <c r="J47"/>
      <c r="K47"/>
      <c r="L47"/>
      <c r="M47" s="29"/>
      <c r="N47" s="180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38" customFormat="1" x14ac:dyDescent="0.2">
      <c r="A48"/>
      <c r="B48"/>
      <c r="C48"/>
      <c r="D48" s="180"/>
      <c r="E48"/>
      <c r="F48"/>
      <c r="G48"/>
      <c r="H48"/>
      <c r="I48" s="180"/>
      <c r="J48"/>
      <c r="K48"/>
      <c r="L48"/>
      <c r="M48" s="29"/>
      <c r="N48" s="180"/>
      <c r="O48"/>
      <c r="P48"/>
      <c r="Q48"/>
      <c r="R48"/>
      <c r="S48"/>
      <c r="T48"/>
      <c r="U48"/>
      <c r="V48"/>
      <c r="W48"/>
      <c r="X48"/>
      <c r="Y48"/>
    </row>
    <row r="49" spans="4:14" s="38" customFormat="1" ht="12" x14ac:dyDescent="0.15">
      <c r="D49" s="213"/>
      <c r="I49" s="213"/>
      <c r="N49" s="213"/>
    </row>
  </sheetData>
  <sortState ref="B39:H62">
    <sortCondition ref="D3:D26"/>
    <sortCondition ref="E3:E26"/>
    <sortCondition ref="G3:G26"/>
    <sortCondition ref="H3:H26"/>
  </sortState>
  <phoneticPr fontId="7" type="noConversion"/>
  <pageMargins left="0.70000000000000007" right="0.70000000000000007" top="0.75000000000000011" bottom="0.75000000000000011" header="0.30000000000000004" footer="0.3000000000000000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0"/>
  <sheetViews>
    <sheetView topLeftCell="I3" zoomScale="80" zoomScaleNormal="80" workbookViewId="0">
      <selection activeCell="Z10" sqref="Z10"/>
    </sheetView>
  </sheetViews>
  <sheetFormatPr baseColWidth="10" defaultColWidth="8.83203125" defaultRowHeight="16" x14ac:dyDescent="0.2"/>
  <cols>
    <col min="1" max="1" width="9.5" customWidth="1"/>
    <col min="2" max="2" width="3.5" hidden="1" customWidth="1"/>
    <col min="3" max="3" width="18.6640625" customWidth="1"/>
    <col min="4" max="4" width="12.1640625" customWidth="1"/>
    <col min="5" max="5" width="6.5" customWidth="1"/>
    <col min="6" max="6" width="7.6640625" customWidth="1"/>
    <col min="7" max="7" width="11.5" customWidth="1"/>
    <col min="8" max="8" width="19.6640625" customWidth="1"/>
    <col min="9" max="9" width="10.33203125" customWidth="1"/>
    <col min="10" max="10" width="6.83203125" customWidth="1"/>
    <col min="11" max="11" width="4.83203125" customWidth="1"/>
    <col min="12" max="12" width="10.33203125" customWidth="1"/>
    <col min="13" max="13" width="20.5" customWidth="1"/>
    <col min="14" max="14" width="11.5" customWidth="1"/>
    <col min="15" max="16" width="4.6640625" customWidth="1"/>
    <col min="17" max="17" width="11" customWidth="1"/>
    <col min="18" max="18" width="19.5" customWidth="1"/>
    <col min="19" max="19" width="12.83203125" customWidth="1"/>
    <col min="20" max="21" width="6.1640625" customWidth="1"/>
    <col min="22" max="22" width="11.83203125" customWidth="1"/>
    <col min="23" max="23" width="19.5" customWidth="1"/>
    <col min="24" max="24" width="15.6640625" customWidth="1"/>
    <col min="25" max="25" width="6.1640625" customWidth="1"/>
  </cols>
  <sheetData>
    <row r="1" spans="1:25" ht="21" x14ac:dyDescent="0.35">
      <c r="A1" s="15" t="s">
        <v>66</v>
      </c>
      <c r="B1" s="15"/>
    </row>
    <row r="3" spans="1:25" ht="18.75" x14ac:dyDescent="0.3">
      <c r="A3" s="79" t="s">
        <v>45</v>
      </c>
      <c r="B3" s="80"/>
      <c r="C3" s="80"/>
      <c r="D3" s="117" t="s">
        <v>80</v>
      </c>
      <c r="E3" s="117" t="s">
        <v>81</v>
      </c>
      <c r="F3" s="79"/>
      <c r="G3" s="80"/>
      <c r="H3" s="80"/>
      <c r="I3" s="80"/>
      <c r="J3" s="80"/>
      <c r="K3" s="80"/>
      <c r="L3" s="79" t="s">
        <v>27</v>
      </c>
      <c r="M3" s="80"/>
      <c r="N3" s="79" t="s">
        <v>90</v>
      </c>
      <c r="O3" s="118" t="s">
        <v>91</v>
      </c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18.75" x14ac:dyDescent="0.3">
      <c r="A4" s="79" t="s">
        <v>67</v>
      </c>
      <c r="B4" s="79"/>
      <c r="C4" s="79"/>
      <c r="D4" s="79"/>
      <c r="E4" s="79">
        <v>1</v>
      </c>
      <c r="F4" s="79"/>
      <c r="G4" s="80"/>
      <c r="H4" s="80"/>
      <c r="I4" s="80"/>
      <c r="J4" s="80"/>
      <c r="K4" s="80"/>
      <c r="L4" s="79" t="s">
        <v>92</v>
      </c>
      <c r="M4" s="79" t="s">
        <v>75</v>
      </c>
      <c r="N4" s="79"/>
      <c r="O4" s="79">
        <v>7</v>
      </c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18.75" x14ac:dyDescent="0.3">
      <c r="A5" s="82" t="s">
        <v>46</v>
      </c>
      <c r="B5" s="35">
        <v>1</v>
      </c>
      <c r="C5" s="138" t="s">
        <v>137</v>
      </c>
      <c r="D5" s="18">
        <v>16.66</v>
      </c>
      <c r="E5" s="18">
        <v>1</v>
      </c>
      <c r="F5" s="91"/>
      <c r="G5" s="80"/>
      <c r="H5" s="80"/>
      <c r="I5" s="80"/>
      <c r="J5" s="80"/>
      <c r="K5" s="91"/>
      <c r="L5" s="82" t="s">
        <v>46</v>
      </c>
      <c r="M5" s="43" t="str">
        <f>IF(E5=1,C5,(IF(E6=1,C6,(IF(E7=1,C7,(IF(E8=1,C8,1.1)))))))</f>
        <v>Rod Baldwin</v>
      </c>
      <c r="N5" s="20">
        <v>17.100000000000001</v>
      </c>
      <c r="O5" s="21">
        <v>1</v>
      </c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8.75" x14ac:dyDescent="0.3">
      <c r="A6" s="84" t="s">
        <v>36</v>
      </c>
      <c r="B6" s="40">
        <v>8</v>
      </c>
      <c r="C6" s="138" t="s">
        <v>150</v>
      </c>
      <c r="D6" s="41">
        <v>4.63</v>
      </c>
      <c r="E6" s="41">
        <v>2</v>
      </c>
      <c r="F6" s="91"/>
      <c r="G6" s="80"/>
      <c r="H6" s="80"/>
      <c r="I6" s="80"/>
      <c r="J6" s="80"/>
      <c r="K6" s="91"/>
      <c r="L6" s="84" t="s">
        <v>36</v>
      </c>
      <c r="M6" s="44" t="s">
        <v>139</v>
      </c>
      <c r="N6" s="20">
        <v>10.4</v>
      </c>
      <c r="O6" s="35">
        <v>2</v>
      </c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8.75" x14ac:dyDescent="0.3">
      <c r="A7" s="85" t="s">
        <v>47</v>
      </c>
      <c r="B7" s="35">
        <v>9</v>
      </c>
      <c r="C7" s="83" t="s">
        <v>138</v>
      </c>
      <c r="D7" s="18">
        <v>2.06</v>
      </c>
      <c r="E7" s="18">
        <v>4</v>
      </c>
      <c r="F7" s="91"/>
      <c r="G7" s="79" t="s">
        <v>68</v>
      </c>
      <c r="H7" s="80"/>
      <c r="I7" s="117" t="s">
        <v>80</v>
      </c>
      <c r="J7" s="117" t="s">
        <v>81</v>
      </c>
      <c r="K7" s="91"/>
      <c r="L7" s="85" t="s">
        <v>47</v>
      </c>
      <c r="M7" s="44" t="str">
        <f>IF(J9=2,H9,(IF(J10=2,H10,(IF(J11=2,H11,(IF(J12=2,H12,2.5)))))))</f>
        <v>Richard Sargeson</v>
      </c>
      <c r="N7" s="20">
        <v>9.5</v>
      </c>
      <c r="O7" s="35">
        <v>3</v>
      </c>
      <c r="P7" s="80"/>
      <c r="Q7" s="79" t="s">
        <v>72</v>
      </c>
      <c r="S7" s="117" t="s">
        <v>80</v>
      </c>
      <c r="T7" s="117" t="s">
        <v>81</v>
      </c>
      <c r="U7" s="80"/>
      <c r="V7" s="80"/>
      <c r="W7" s="80"/>
      <c r="X7" s="80"/>
      <c r="Y7" s="80"/>
    </row>
    <row r="8" spans="1:25" ht="18.75" x14ac:dyDescent="0.3">
      <c r="A8" s="86" t="s">
        <v>48</v>
      </c>
      <c r="B8" s="36">
        <v>16</v>
      </c>
      <c r="C8" s="169" t="s">
        <v>184</v>
      </c>
      <c r="D8" s="19">
        <v>3.96</v>
      </c>
      <c r="E8" s="19">
        <v>3</v>
      </c>
      <c r="F8" s="91"/>
      <c r="G8" s="79" t="s">
        <v>69</v>
      </c>
      <c r="H8" s="79"/>
      <c r="I8" s="79"/>
      <c r="J8" s="79">
        <v>5</v>
      </c>
      <c r="K8" s="46"/>
      <c r="L8" s="80"/>
      <c r="M8" s="80"/>
      <c r="N8" s="80"/>
      <c r="O8" s="80"/>
      <c r="P8" s="79"/>
      <c r="Q8" s="79" t="s">
        <v>69</v>
      </c>
      <c r="R8" s="79"/>
      <c r="S8" s="79"/>
      <c r="T8" s="79">
        <v>11</v>
      </c>
      <c r="U8" s="80"/>
      <c r="V8" s="80"/>
      <c r="W8" s="80"/>
      <c r="X8" s="80"/>
      <c r="Y8" s="80"/>
    </row>
    <row r="9" spans="1:25" ht="18.75" x14ac:dyDescent="0.3">
      <c r="A9" s="91"/>
      <c r="B9" s="91"/>
      <c r="C9" s="91"/>
      <c r="D9" s="91"/>
      <c r="E9" s="91"/>
      <c r="F9" s="91"/>
      <c r="G9" s="82" t="s">
        <v>46</v>
      </c>
      <c r="H9" s="20" t="str">
        <f>IF(E5=3,C5,(IF(E6=3,C6,(IF(E7=3,C7,(IF(E8=3,C8,3.1)))))))</f>
        <v>Ronnie Wong</v>
      </c>
      <c r="I9" s="178" t="s">
        <v>194</v>
      </c>
      <c r="J9" s="179" t="s">
        <v>194</v>
      </c>
      <c r="K9" s="91"/>
      <c r="L9" s="80"/>
      <c r="M9" s="80"/>
      <c r="N9" s="80"/>
      <c r="O9" s="80"/>
      <c r="P9" s="80"/>
      <c r="Q9" s="82" t="s">
        <v>46</v>
      </c>
      <c r="R9" s="20" t="str">
        <f>IF(O5=1,M5,(IF(O6=1,M6,(IF(O7=1,M7,1.7)))))</f>
        <v>Rod Baldwin</v>
      </c>
      <c r="S9" s="88">
        <v>16.170000000000002</v>
      </c>
      <c r="T9" s="18">
        <v>1</v>
      </c>
      <c r="U9" s="80"/>
      <c r="V9" s="80"/>
      <c r="W9" s="80"/>
      <c r="X9" s="80"/>
      <c r="Y9" s="80"/>
    </row>
    <row r="10" spans="1:25" ht="18.75" x14ac:dyDescent="0.3">
      <c r="A10" s="79" t="s">
        <v>70</v>
      </c>
      <c r="B10" s="79"/>
      <c r="C10" s="79"/>
      <c r="D10" s="79"/>
      <c r="E10" s="79">
        <v>2</v>
      </c>
      <c r="F10" s="80"/>
      <c r="G10" s="84" t="s">
        <v>36</v>
      </c>
      <c r="H10" s="20" t="str">
        <f>IF(E5=4,C5,(IF(E6=4,C6,(IF(E7=4,C7,(IF(E8=4,C8,4.1)))))))</f>
        <v>Richard Sargeson</v>
      </c>
      <c r="I10" s="69">
        <v>9.1</v>
      </c>
      <c r="J10" s="41">
        <v>2</v>
      </c>
      <c r="K10" s="80"/>
      <c r="L10" s="80"/>
      <c r="M10" s="80"/>
      <c r="N10" s="80"/>
      <c r="O10" s="80"/>
      <c r="P10" s="80"/>
      <c r="Q10" s="84" t="s">
        <v>36</v>
      </c>
      <c r="R10" s="42" t="str">
        <f>IF(O5=2,M5,(IF(O6=2,M6,(IF(O7=2,M7,2.7)))))</f>
        <v>Michael Hoysted</v>
      </c>
      <c r="S10" s="69">
        <v>7.8</v>
      </c>
      <c r="T10" s="41">
        <v>3</v>
      </c>
      <c r="U10" s="80"/>
      <c r="V10" s="70" t="s">
        <v>17</v>
      </c>
      <c r="W10" s="95"/>
      <c r="X10" s="117" t="s">
        <v>80</v>
      </c>
      <c r="Y10" s="117" t="s">
        <v>81</v>
      </c>
    </row>
    <row r="11" spans="1:25" ht="18.75" x14ac:dyDescent="0.3">
      <c r="A11" s="82" t="s">
        <v>46</v>
      </c>
      <c r="B11" s="21">
        <v>4</v>
      </c>
      <c r="C11" s="138" t="s">
        <v>173</v>
      </c>
      <c r="D11" s="71">
        <v>11.16</v>
      </c>
      <c r="E11" s="21">
        <v>1</v>
      </c>
      <c r="F11" s="91"/>
      <c r="G11" s="85" t="s">
        <v>47</v>
      </c>
      <c r="H11" s="20" t="str">
        <f>IF(E11=3,C11,(IF(E12=3,C12,(IF(E13=3,C13,(IF(E14=3,C14,3.2)))))))</f>
        <v>Mark Gobbe</v>
      </c>
      <c r="I11" s="88">
        <v>13.67</v>
      </c>
      <c r="J11" s="18">
        <v>1</v>
      </c>
      <c r="K11" s="91"/>
      <c r="L11" s="79" t="s">
        <v>93</v>
      </c>
      <c r="M11" s="79" t="s">
        <v>75</v>
      </c>
      <c r="N11" s="79"/>
      <c r="O11" s="79">
        <v>8</v>
      </c>
      <c r="P11" s="80"/>
      <c r="Q11" s="85" t="s">
        <v>47</v>
      </c>
      <c r="R11" s="20" t="str">
        <f>IF(O12=1,M12,(IF(O13=1,M13,(IF(O14=1,M14,1.8)))))</f>
        <v>Andrew Johnson</v>
      </c>
      <c r="S11" s="88">
        <v>11.53</v>
      </c>
      <c r="T11" s="18">
        <v>2</v>
      </c>
      <c r="U11" s="80"/>
      <c r="V11" s="70"/>
      <c r="W11" s="70"/>
      <c r="X11" s="70"/>
      <c r="Y11" s="79">
        <v>13</v>
      </c>
    </row>
    <row r="12" spans="1:25" ht="18.75" x14ac:dyDescent="0.3">
      <c r="A12" s="84" t="s">
        <v>36</v>
      </c>
      <c r="B12" s="35">
        <v>5</v>
      </c>
      <c r="C12" s="83" t="s">
        <v>151</v>
      </c>
      <c r="D12" s="72">
        <v>8.66</v>
      </c>
      <c r="E12" s="35">
        <v>3</v>
      </c>
      <c r="F12" s="91"/>
      <c r="G12" s="86" t="s">
        <v>48</v>
      </c>
      <c r="H12" s="120" t="str">
        <f>IF(E11=4,C11,(IF(E12=4,C12,(IF(E13=4,C13,(IF(E14=4,C14,4.2)))))))</f>
        <v>Ian Gaynor</v>
      </c>
      <c r="I12" s="20">
        <v>3.47</v>
      </c>
      <c r="J12" s="35">
        <v>3</v>
      </c>
      <c r="K12" s="91"/>
      <c r="L12" s="82" t="s">
        <v>46</v>
      </c>
      <c r="M12" s="43" t="str">
        <f>IF(E5=2,C5,(IF(E6=2,C6,(IF(E7=2,C7,(IF(E8=2,C8,2.1)))))))</f>
        <v>Lyle Eder</v>
      </c>
      <c r="N12" s="20">
        <v>5.9</v>
      </c>
      <c r="O12" s="21">
        <v>3</v>
      </c>
      <c r="P12" s="80"/>
      <c r="Q12" s="86" t="s">
        <v>48</v>
      </c>
      <c r="R12" s="37" t="str">
        <f>IF(O12=2,M12,(IF(O13=2,M13,(IF(O14=2,M14,2.8)))))</f>
        <v>Mark Gobbe</v>
      </c>
      <c r="S12" s="89">
        <v>5.67</v>
      </c>
      <c r="T12" s="19">
        <v>4</v>
      </c>
      <c r="U12" s="80"/>
      <c r="V12" s="82" t="s">
        <v>46</v>
      </c>
      <c r="W12" s="20" t="str">
        <f>IF(T9=1,R9,(IF(T10=1,R10,(IF(T11=1,R11,(IF(T12=1,R12,1.11)))))))</f>
        <v>Rod Baldwin</v>
      </c>
      <c r="X12" s="74">
        <v>16.100000000000001</v>
      </c>
      <c r="Y12" s="73">
        <v>1</v>
      </c>
    </row>
    <row r="13" spans="1:25" ht="18.75" x14ac:dyDescent="0.3">
      <c r="A13" s="85" t="s">
        <v>47</v>
      </c>
      <c r="B13" s="35">
        <v>12</v>
      </c>
      <c r="C13" s="83" t="s">
        <v>139</v>
      </c>
      <c r="D13" s="72">
        <v>9.34</v>
      </c>
      <c r="E13" s="35">
        <v>2</v>
      </c>
      <c r="F13" s="91"/>
      <c r="G13" s="91"/>
      <c r="H13" s="48"/>
      <c r="I13" s="48"/>
      <c r="J13" s="91"/>
      <c r="K13" s="91"/>
      <c r="L13" s="84" t="s">
        <v>36</v>
      </c>
      <c r="M13" s="44" t="str">
        <f>IF(E11=1,C11,(IF(E12=1,C12,(IF(E13=1,C13,(IF(E14=1,C14,1.2)))))))</f>
        <v>Andrew Johnson</v>
      </c>
      <c r="N13" s="20">
        <v>16.829999999999998</v>
      </c>
      <c r="O13" s="35">
        <v>1</v>
      </c>
      <c r="P13" s="80"/>
      <c r="Q13" s="91"/>
      <c r="R13" s="48"/>
      <c r="S13" s="48"/>
      <c r="T13" s="91"/>
      <c r="U13" s="80"/>
      <c r="V13" s="84" t="s">
        <v>36</v>
      </c>
      <c r="W13" s="20" t="str">
        <f>IF(T9=2,R9,(IF(T10=2,R10,(IF(T11=2,R11,(IF(T12=2,R12,2.11)))))))</f>
        <v>Andrew Johnson</v>
      </c>
      <c r="X13" s="20">
        <v>12.66</v>
      </c>
      <c r="Y13" s="83">
        <v>2</v>
      </c>
    </row>
    <row r="14" spans="1:25" ht="18.75" x14ac:dyDescent="0.3">
      <c r="A14" s="86" t="s">
        <v>48</v>
      </c>
      <c r="B14" s="36">
        <v>13</v>
      </c>
      <c r="C14" s="83" t="s">
        <v>185</v>
      </c>
      <c r="D14" s="75">
        <v>2.83</v>
      </c>
      <c r="E14" s="36">
        <v>4</v>
      </c>
      <c r="F14" s="91"/>
      <c r="G14" s="91"/>
      <c r="H14" s="48"/>
      <c r="I14" s="48"/>
      <c r="J14" s="91"/>
      <c r="K14" s="80"/>
      <c r="L14" s="85" t="s">
        <v>47</v>
      </c>
      <c r="M14" s="44" t="str">
        <f>IF(J9=1,H9,(IF(J10=1,H10,(IF(J11=1,H11,(IF(J12=1,H12,1.5)))))))</f>
        <v>Mark Gobbe</v>
      </c>
      <c r="N14" s="20">
        <v>8.44</v>
      </c>
      <c r="O14" s="35">
        <v>2</v>
      </c>
      <c r="P14" s="80"/>
      <c r="Q14" s="79" t="s">
        <v>74</v>
      </c>
      <c r="R14" s="96"/>
      <c r="S14" s="96"/>
      <c r="T14" s="79">
        <v>12</v>
      </c>
      <c r="U14" s="80"/>
      <c r="V14" s="85" t="s">
        <v>47</v>
      </c>
      <c r="W14" s="20" t="str">
        <f>IF(T15=1,R15,(IF(T16=1,R16,(IF(T17=1,R17,(IF(T18=1,R18,1.12)))))))</f>
        <v>Dean Shaw</v>
      </c>
      <c r="X14" s="37">
        <v>11.47</v>
      </c>
      <c r="Y14" s="76">
        <v>3</v>
      </c>
    </row>
    <row r="15" spans="1:25" ht="18.75" x14ac:dyDescent="0.3">
      <c r="A15" s="91"/>
      <c r="B15" s="91"/>
      <c r="C15" s="91"/>
      <c r="D15" s="91"/>
      <c r="E15" s="91"/>
      <c r="F15" s="91"/>
      <c r="G15" s="79" t="s">
        <v>74</v>
      </c>
      <c r="H15" s="79"/>
      <c r="I15" s="79"/>
      <c r="J15" s="79">
        <v>6</v>
      </c>
      <c r="K15" s="80"/>
      <c r="L15" s="80"/>
      <c r="M15" s="80"/>
      <c r="N15" s="80"/>
      <c r="O15" s="80"/>
      <c r="P15" s="80"/>
      <c r="Q15" s="82" t="s">
        <v>46</v>
      </c>
      <c r="R15" s="43" t="str">
        <f>IF(O19=1,M19,(IF(O20=1,M20,(IF(O21=1,M21,1.9)))))</f>
        <v>Charlie O'Sullivan</v>
      </c>
      <c r="S15" s="20">
        <v>11.34</v>
      </c>
      <c r="T15" s="21">
        <v>2</v>
      </c>
      <c r="U15" s="80"/>
      <c r="V15" s="86" t="s">
        <v>48</v>
      </c>
      <c r="W15" s="20" t="str">
        <f>IF(T15=2,R15,(IF(T16=2,R16,(IF(T17=2,R17,(IF(T18=2,R18,2.12)))))))</f>
        <v>Charlie O'Sullivan</v>
      </c>
      <c r="X15" s="37">
        <v>10.8</v>
      </c>
      <c r="Y15" s="76">
        <v>4</v>
      </c>
    </row>
    <row r="16" spans="1:25" ht="18.75" x14ac:dyDescent="0.3">
      <c r="A16" s="79" t="s">
        <v>73</v>
      </c>
      <c r="B16" s="79"/>
      <c r="C16" s="79"/>
      <c r="D16" s="79"/>
      <c r="E16" s="79">
        <v>3</v>
      </c>
      <c r="F16" s="80"/>
      <c r="G16" s="82" t="s">
        <v>46</v>
      </c>
      <c r="H16" s="20" t="str">
        <f>IF(E17=3,C17,(IF(E18=3,C18,(IF(E19=3,C19,(IF(E20=3,C20,3.3)))))))</f>
        <v>Charlie O'Sullivan</v>
      </c>
      <c r="I16" s="20">
        <v>13.3</v>
      </c>
      <c r="J16" s="35">
        <v>1</v>
      </c>
      <c r="K16" s="80"/>
      <c r="L16" s="95"/>
      <c r="M16" s="95"/>
      <c r="N16" s="95"/>
      <c r="O16" s="95"/>
      <c r="P16" s="80"/>
      <c r="Q16" s="84" t="s">
        <v>36</v>
      </c>
      <c r="R16" s="44" t="str">
        <f>IF(O19=2,M19,(IF(O20=2,M20,(IF(O21=2,M21,2.9)))))</f>
        <v>Max Perrot</v>
      </c>
      <c r="S16" s="20">
        <v>5.94</v>
      </c>
      <c r="T16" s="35">
        <v>4</v>
      </c>
      <c r="U16" s="80"/>
      <c r="V16" s="95"/>
      <c r="W16" s="95"/>
      <c r="X16" s="95"/>
      <c r="Y16" s="95"/>
    </row>
    <row r="17" spans="1:25" ht="18.75" x14ac:dyDescent="0.3">
      <c r="A17" s="82" t="s">
        <v>46</v>
      </c>
      <c r="B17" s="21">
        <v>3</v>
      </c>
      <c r="C17" s="83" t="s">
        <v>143</v>
      </c>
      <c r="D17" s="71">
        <v>9.9700000000000006</v>
      </c>
      <c r="E17" s="21">
        <v>3</v>
      </c>
      <c r="F17" s="91"/>
      <c r="G17" s="84" t="s">
        <v>36</v>
      </c>
      <c r="H17" s="31" t="str">
        <f>IF(E17=4,C17,(IF(E18=4,C18,(IF(E19=4,C19,(IF(E20=4,C20,4.3)))))))</f>
        <v>Michael Omm</v>
      </c>
      <c r="I17" s="20">
        <v>7.97</v>
      </c>
      <c r="J17" s="35">
        <v>2</v>
      </c>
      <c r="K17" s="80"/>
      <c r="L17" s="79"/>
      <c r="M17" s="80"/>
      <c r="N17" s="80"/>
      <c r="O17" s="80"/>
      <c r="P17" s="80"/>
      <c r="Q17" s="85" t="s">
        <v>47</v>
      </c>
      <c r="R17" s="49" t="str">
        <f>IF(O26=1,M26,(IF(O27=1,M27,(IF(O28=1,M28,1.1)))))</f>
        <v>Dean Shaw</v>
      </c>
      <c r="S17" s="20">
        <v>14</v>
      </c>
      <c r="T17" s="35">
        <v>1</v>
      </c>
      <c r="U17" s="80"/>
      <c r="V17" s="80"/>
      <c r="W17" s="80"/>
      <c r="X17" s="80"/>
      <c r="Y17" s="80"/>
    </row>
    <row r="18" spans="1:25" ht="18.75" x14ac:dyDescent="0.3">
      <c r="A18" s="84" t="s">
        <v>36</v>
      </c>
      <c r="B18" s="35">
        <v>6</v>
      </c>
      <c r="C18" s="83" t="s">
        <v>145</v>
      </c>
      <c r="D18" s="72">
        <v>14.83</v>
      </c>
      <c r="E18" s="35">
        <v>1</v>
      </c>
      <c r="F18" s="91"/>
      <c r="G18" s="92" t="s">
        <v>47</v>
      </c>
      <c r="H18" s="31" t="str">
        <f>IF(E23=3,C23,(IF(E24=3,C24,(IF(E25=3,C25,(IF(E26=3,C26,3.4)))))))</f>
        <v>Greg Gillespie</v>
      </c>
      <c r="I18" s="20">
        <v>6.3</v>
      </c>
      <c r="J18" s="35">
        <v>3</v>
      </c>
      <c r="K18" s="91"/>
      <c r="L18" s="79" t="s">
        <v>94</v>
      </c>
      <c r="M18" s="79" t="s">
        <v>75</v>
      </c>
      <c r="N18" s="79"/>
      <c r="O18" s="79">
        <v>9</v>
      </c>
      <c r="P18" s="80"/>
      <c r="Q18" s="86" t="s">
        <v>48</v>
      </c>
      <c r="R18" s="50" t="str">
        <f>IF(O26=2,M26,(IF(O27=2,M27,(IF(O28=2,M28,2.1)))))</f>
        <v>Paul Campbell</v>
      </c>
      <c r="S18" s="20">
        <v>9</v>
      </c>
      <c r="T18" s="36">
        <v>3</v>
      </c>
      <c r="U18" s="80"/>
      <c r="V18" s="80"/>
      <c r="W18" s="80"/>
      <c r="X18" s="80"/>
      <c r="Y18" s="80"/>
    </row>
    <row r="19" spans="1:25" ht="18.75" x14ac:dyDescent="0.3">
      <c r="A19" s="85" t="s">
        <v>47</v>
      </c>
      <c r="B19" s="35">
        <v>11</v>
      </c>
      <c r="C19" s="83" t="s">
        <v>152</v>
      </c>
      <c r="D19" s="72">
        <v>13.97</v>
      </c>
      <c r="E19" s="35">
        <v>2</v>
      </c>
      <c r="F19" s="91"/>
      <c r="G19" s="86" t="s">
        <v>48</v>
      </c>
      <c r="H19" s="20">
        <f>IF(E23=4,C23,(IF(E24=4,C24,(IF(E25=4,C25,(IF(E26=4,C26,4.4)))))))</f>
        <v>4.4000000000000004</v>
      </c>
      <c r="I19" s="35"/>
      <c r="J19" s="35"/>
      <c r="K19" s="91"/>
      <c r="L19" s="82" t="s">
        <v>46</v>
      </c>
      <c r="M19" s="43" t="str">
        <f>IF(E17=1,C17,(IF(E18=1,C18,(IF(E19=1,C19,(IF(E20=1,C20,1.3)))))))</f>
        <v>Max Perrot</v>
      </c>
      <c r="N19" s="20">
        <v>13.34</v>
      </c>
      <c r="O19" s="21">
        <v>2</v>
      </c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8.75" x14ac:dyDescent="0.3">
      <c r="A20" s="93" t="s">
        <v>48</v>
      </c>
      <c r="B20" s="35">
        <v>14</v>
      </c>
      <c r="C20" s="83" t="s">
        <v>153</v>
      </c>
      <c r="D20" s="72">
        <v>3.1</v>
      </c>
      <c r="E20" s="35">
        <v>4</v>
      </c>
      <c r="F20" s="91"/>
      <c r="G20" s="80"/>
      <c r="H20" s="80"/>
      <c r="I20" s="80"/>
      <c r="J20" s="80"/>
      <c r="K20" s="91"/>
      <c r="L20" s="84" t="s">
        <v>36</v>
      </c>
      <c r="M20" s="44" t="str">
        <f>IF(E23=2,C23,(IF(E24=2,C24,(IF(E25=2,C25,(IF(E26=2,C26,2.4)))))))</f>
        <v>Donovan Daniels</v>
      </c>
      <c r="N20" s="20">
        <v>10.17</v>
      </c>
      <c r="O20" s="35">
        <v>3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8.75" x14ac:dyDescent="0.3">
      <c r="L21" s="85" t="s">
        <v>47</v>
      </c>
      <c r="M21" s="44" t="str">
        <f>IF(J16=1,H16,(IF(J17=1,H17,(IF(J18=1,H18,(IF(J19=1,H19,1.6)))))))</f>
        <v>Charlie O'Sullivan</v>
      </c>
      <c r="N21" s="20">
        <v>17.170000000000002</v>
      </c>
      <c r="O21" s="35">
        <v>1</v>
      </c>
    </row>
    <row r="22" spans="1:25" ht="18.75" x14ac:dyDescent="0.3">
      <c r="A22" s="79" t="s">
        <v>76</v>
      </c>
      <c r="B22" s="79"/>
      <c r="C22" s="79"/>
      <c r="D22" s="79"/>
      <c r="E22" s="79">
        <v>4</v>
      </c>
      <c r="L22" s="80"/>
      <c r="M22" s="80"/>
      <c r="N22" s="80"/>
      <c r="O22" s="80"/>
    </row>
    <row r="23" spans="1:25" ht="18.75" x14ac:dyDescent="0.3">
      <c r="A23" s="82" t="s">
        <v>46</v>
      </c>
      <c r="B23" s="21">
        <v>2</v>
      </c>
      <c r="C23" s="138" t="s">
        <v>154</v>
      </c>
      <c r="D23" s="71">
        <v>13.67</v>
      </c>
      <c r="E23" s="21">
        <v>1</v>
      </c>
      <c r="L23" s="80"/>
      <c r="M23" s="80"/>
      <c r="N23" s="80"/>
      <c r="O23" s="80"/>
    </row>
    <row r="24" spans="1:25" ht="18.75" x14ac:dyDescent="0.3">
      <c r="A24" s="84" t="s">
        <v>36</v>
      </c>
      <c r="B24" s="35">
        <v>7</v>
      </c>
      <c r="C24" s="138" t="s">
        <v>155</v>
      </c>
      <c r="D24" s="172" t="s">
        <v>194</v>
      </c>
      <c r="E24" s="63" t="s">
        <v>194</v>
      </c>
      <c r="L24" s="80"/>
      <c r="M24" s="80"/>
      <c r="N24" s="80"/>
      <c r="O24" s="80"/>
    </row>
    <row r="25" spans="1:25" ht="18.75" x14ac:dyDescent="0.3">
      <c r="A25" s="85" t="s">
        <v>47</v>
      </c>
      <c r="B25" s="35">
        <v>10</v>
      </c>
      <c r="C25" s="83" t="s">
        <v>156</v>
      </c>
      <c r="D25" s="72">
        <v>3.36</v>
      </c>
      <c r="E25" s="35">
        <v>3</v>
      </c>
      <c r="L25" s="79" t="s">
        <v>95</v>
      </c>
      <c r="M25" s="79" t="s">
        <v>75</v>
      </c>
      <c r="N25" s="79"/>
      <c r="O25" s="79">
        <v>10</v>
      </c>
    </row>
    <row r="26" spans="1:25" ht="18.75" x14ac:dyDescent="0.3">
      <c r="A26" s="93" t="s">
        <v>48</v>
      </c>
      <c r="B26" s="35">
        <v>15</v>
      </c>
      <c r="C26" s="87" t="s">
        <v>157</v>
      </c>
      <c r="D26" s="72">
        <v>6.87</v>
      </c>
      <c r="E26" s="35">
        <v>2</v>
      </c>
      <c r="L26" s="82" t="s">
        <v>46</v>
      </c>
      <c r="M26" s="43" t="str">
        <f>IF(E17=2,C17,(IF(E18=2,C18,(IF(E19=2,C19,(IF(E20=2,C20,2.3)))))))</f>
        <v>Paul Campbell</v>
      </c>
      <c r="N26" s="20">
        <v>15.93</v>
      </c>
      <c r="O26" s="21">
        <v>2</v>
      </c>
    </row>
    <row r="27" spans="1:25" ht="18.75" x14ac:dyDescent="0.3">
      <c r="L27" s="84" t="s">
        <v>36</v>
      </c>
      <c r="M27" s="44" t="s">
        <v>154</v>
      </c>
      <c r="N27" s="20">
        <v>17</v>
      </c>
      <c r="O27" s="35">
        <v>1</v>
      </c>
    </row>
    <row r="28" spans="1:25" ht="18.75" x14ac:dyDescent="0.3">
      <c r="C28" s="28"/>
      <c r="L28" s="85" t="s">
        <v>47</v>
      </c>
      <c r="M28" s="44" t="str">
        <f>IF(J16=2,H16,(IF(J17=2,H17,(IF(J18=2,H18,(IF(J19=2,H19,2.6)))))))</f>
        <v>Michael Omm</v>
      </c>
      <c r="N28" s="20">
        <v>7.9</v>
      </c>
      <c r="O28" s="35">
        <v>3</v>
      </c>
    </row>
    <row r="30" spans="1: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78"/>
      <c r="L30" s="23"/>
      <c r="M30" s="23"/>
      <c r="N30" s="23"/>
      <c r="O30" s="23"/>
      <c r="P30" s="78"/>
      <c r="Q30" s="23"/>
      <c r="R30" s="23"/>
      <c r="S30" s="23"/>
      <c r="T30" s="23"/>
      <c r="U30" s="78"/>
      <c r="V30" s="23"/>
      <c r="W30" s="23"/>
      <c r="X30" s="23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9"/>
  <sheetViews>
    <sheetView topLeftCell="F1" zoomScale="70" zoomScaleNormal="70" workbookViewId="0">
      <selection activeCell="V11" sqref="V11"/>
    </sheetView>
  </sheetViews>
  <sheetFormatPr baseColWidth="10" defaultColWidth="8.83203125" defaultRowHeight="16" x14ac:dyDescent="0.2"/>
  <cols>
    <col min="1" max="1" width="10.5" customWidth="1"/>
    <col min="2" max="2" width="3.5" hidden="1" customWidth="1"/>
    <col min="3" max="3" width="20.1640625" customWidth="1"/>
    <col min="4" max="4" width="13" customWidth="1"/>
    <col min="5" max="5" width="6.6640625" customWidth="1"/>
    <col min="7" max="7" width="9.6640625" customWidth="1"/>
    <col min="8" max="8" width="21.6640625" customWidth="1"/>
    <col min="9" max="9" width="19.1640625" customWidth="1"/>
    <col min="10" max="10" width="13.5" customWidth="1"/>
    <col min="11" max="11" width="5.1640625" customWidth="1"/>
    <col min="12" max="12" width="8.5" customWidth="1"/>
    <col min="13" max="13" width="17.6640625" customWidth="1"/>
    <col min="14" max="14" width="19.6640625" bestFit="1" customWidth="1"/>
    <col min="15" max="15" width="16.6640625" customWidth="1"/>
    <col min="18" max="18" width="23.33203125" customWidth="1"/>
    <col min="19" max="19" width="19" customWidth="1"/>
    <col min="20" max="20" width="15.83203125" customWidth="1"/>
    <col min="21" max="21" width="5.83203125" customWidth="1"/>
    <col min="23" max="23" width="17.1640625" customWidth="1"/>
  </cols>
  <sheetData>
    <row r="1" spans="1:21" ht="21" x14ac:dyDescent="0.35">
      <c r="A1" s="15" t="s">
        <v>43</v>
      </c>
      <c r="B1" s="15"/>
    </row>
    <row r="4" spans="1:21" ht="18.75" x14ac:dyDescent="0.3">
      <c r="A4" s="79" t="s">
        <v>45</v>
      </c>
      <c r="B4" s="80"/>
      <c r="C4" s="80"/>
      <c r="D4" s="117" t="s">
        <v>80</v>
      </c>
      <c r="E4" s="117" t="s">
        <v>81</v>
      </c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8.75" x14ac:dyDescent="0.3">
      <c r="A5" s="79" t="s">
        <v>67</v>
      </c>
      <c r="B5" s="79"/>
      <c r="C5" s="79"/>
      <c r="D5" s="79"/>
      <c r="E5" s="79">
        <v>1</v>
      </c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8.75" x14ac:dyDescent="0.3">
      <c r="A6" s="82" t="s">
        <v>46</v>
      </c>
      <c r="B6" s="35">
        <v>1</v>
      </c>
      <c r="C6" s="83" t="s">
        <v>158</v>
      </c>
      <c r="D6" s="18">
        <v>13.23</v>
      </c>
      <c r="E6" s="18">
        <v>1</v>
      </c>
      <c r="F6" s="9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18.75" x14ac:dyDescent="0.3">
      <c r="A7" s="84" t="s">
        <v>36</v>
      </c>
      <c r="B7" s="40">
        <v>6</v>
      </c>
      <c r="C7" s="83" t="s">
        <v>159</v>
      </c>
      <c r="D7" s="41">
        <v>11.23</v>
      </c>
      <c r="E7" s="41">
        <v>2</v>
      </c>
      <c r="F7" s="91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ht="18.75" x14ac:dyDescent="0.3">
      <c r="A8" s="85" t="s">
        <v>47</v>
      </c>
      <c r="B8" s="35">
        <v>7</v>
      </c>
      <c r="C8" s="83" t="s">
        <v>160</v>
      </c>
      <c r="D8" s="18">
        <v>10.07</v>
      </c>
      <c r="E8" s="18">
        <v>3</v>
      </c>
      <c r="F8" s="91"/>
      <c r="G8" s="53"/>
      <c r="H8" s="80"/>
      <c r="I8" s="80"/>
      <c r="J8" s="80"/>
      <c r="K8" s="80"/>
      <c r="L8" s="80"/>
      <c r="M8" s="79" t="s">
        <v>72</v>
      </c>
      <c r="O8" s="117" t="s">
        <v>80</v>
      </c>
      <c r="P8" s="117" t="s">
        <v>81</v>
      </c>
      <c r="Q8" s="80"/>
      <c r="R8" s="80"/>
      <c r="S8" s="80"/>
      <c r="T8" s="80"/>
      <c r="U8" s="80"/>
    </row>
    <row r="9" spans="1:21" ht="18.75" x14ac:dyDescent="0.3">
      <c r="A9" s="86" t="s">
        <v>48</v>
      </c>
      <c r="B9" s="36">
        <v>12</v>
      </c>
      <c r="C9" s="37">
        <v>12</v>
      </c>
      <c r="D9" s="19"/>
      <c r="E9" s="19"/>
      <c r="F9" s="91"/>
      <c r="G9" s="53"/>
      <c r="H9" s="79"/>
      <c r="I9" s="79"/>
      <c r="J9" s="79"/>
      <c r="K9" s="79"/>
      <c r="L9" s="79"/>
      <c r="M9" s="79" t="s">
        <v>69</v>
      </c>
      <c r="N9" s="79"/>
      <c r="O9" s="79"/>
      <c r="P9" s="79">
        <v>7</v>
      </c>
      <c r="Q9" s="80"/>
      <c r="R9" s="80"/>
      <c r="S9" s="80"/>
      <c r="T9" s="80"/>
      <c r="U9" s="80"/>
    </row>
    <row r="10" spans="1:21" ht="18.75" x14ac:dyDescent="0.3">
      <c r="A10" s="91"/>
      <c r="B10" s="91"/>
      <c r="C10" s="91"/>
      <c r="D10" s="91"/>
      <c r="E10" s="91"/>
      <c r="F10" s="91"/>
      <c r="G10" s="53"/>
      <c r="H10" s="46"/>
      <c r="I10" s="91"/>
      <c r="J10" s="91"/>
      <c r="K10" s="91"/>
      <c r="L10" s="80"/>
      <c r="M10" s="82" t="s">
        <v>46</v>
      </c>
      <c r="N10" s="20" t="str">
        <f>IF(E6=1,C6,(IF(E7=1,C7,(IF(E8=1,C8,(IF(E9=1,C9,1.1)))))))</f>
        <v>Glenn Sharrock</v>
      </c>
      <c r="O10" s="88">
        <v>13.17</v>
      </c>
      <c r="P10" s="18">
        <v>1</v>
      </c>
      <c r="Q10" s="80"/>
      <c r="R10" s="80"/>
      <c r="S10" s="80"/>
      <c r="T10" s="80"/>
      <c r="U10" s="80"/>
    </row>
    <row r="11" spans="1:21" ht="18.75" x14ac:dyDescent="0.3">
      <c r="A11" s="79" t="s">
        <v>70</v>
      </c>
      <c r="B11" s="79"/>
      <c r="C11" s="79"/>
      <c r="D11" s="79"/>
      <c r="E11" s="79">
        <v>2</v>
      </c>
      <c r="F11" s="80"/>
      <c r="G11" s="68"/>
      <c r="H11" s="79" t="s">
        <v>68</v>
      </c>
      <c r="I11" s="79"/>
      <c r="J11" s="117" t="s">
        <v>80</v>
      </c>
      <c r="K11" s="117" t="s">
        <v>81</v>
      </c>
      <c r="L11" s="80"/>
      <c r="M11" s="84" t="s">
        <v>36</v>
      </c>
      <c r="N11" s="42" t="str">
        <f>IF(E6=2,C6,(IF(E7=2,C7,(IF(E8=2,C8,(IF(E9=2,C9,2.1)))))))</f>
        <v>Brad Stewart</v>
      </c>
      <c r="O11" s="69">
        <v>4.3</v>
      </c>
      <c r="P11" s="41">
        <v>4</v>
      </c>
      <c r="Q11" s="80"/>
      <c r="R11" s="70" t="s">
        <v>17</v>
      </c>
      <c r="S11" s="95"/>
      <c r="T11" s="117" t="s">
        <v>80</v>
      </c>
      <c r="U11" s="117" t="s">
        <v>81</v>
      </c>
    </row>
    <row r="12" spans="1:21" ht="18.75" x14ac:dyDescent="0.3">
      <c r="A12" s="82" t="s">
        <v>46</v>
      </c>
      <c r="B12" s="21">
        <v>3</v>
      </c>
      <c r="C12" s="83" t="s">
        <v>163</v>
      </c>
      <c r="D12" s="71">
        <v>11.83</v>
      </c>
      <c r="E12" s="21">
        <v>1</v>
      </c>
      <c r="F12" s="91"/>
      <c r="G12" s="68"/>
      <c r="H12" s="70" t="s">
        <v>69</v>
      </c>
      <c r="I12" s="79"/>
      <c r="J12" s="79"/>
      <c r="K12" s="79">
        <v>4</v>
      </c>
      <c r="L12" s="80"/>
      <c r="M12" s="85" t="s">
        <v>47</v>
      </c>
      <c r="N12" s="20" t="str">
        <f>IF(E12=2,C12,(IF(E13=2,C13,(IF(E14=2,C14,(IF(E15=2,C15,2.2)))))))</f>
        <v>Bruce Flint</v>
      </c>
      <c r="O12" s="88">
        <v>9.34</v>
      </c>
      <c r="P12" s="18">
        <v>2</v>
      </c>
      <c r="Q12" s="80"/>
      <c r="R12" s="70"/>
      <c r="S12" s="70"/>
      <c r="T12" s="70"/>
      <c r="U12" s="79">
        <v>9</v>
      </c>
    </row>
    <row r="13" spans="1:21" ht="18.75" x14ac:dyDescent="0.3">
      <c r="A13" s="84" t="s">
        <v>36</v>
      </c>
      <c r="B13" s="35">
        <v>4</v>
      </c>
      <c r="C13" s="83" t="s">
        <v>164</v>
      </c>
      <c r="D13" s="72">
        <v>10.83</v>
      </c>
      <c r="E13" s="35">
        <v>2</v>
      </c>
      <c r="F13" s="91"/>
      <c r="G13" s="54"/>
      <c r="H13" s="173" t="s">
        <v>46</v>
      </c>
      <c r="I13" s="43" t="s">
        <v>160</v>
      </c>
      <c r="J13" s="20">
        <v>7.67</v>
      </c>
      <c r="K13" s="73">
        <v>1</v>
      </c>
      <c r="L13" s="80"/>
      <c r="M13" s="86" t="s">
        <v>48</v>
      </c>
      <c r="N13" s="37" t="s">
        <v>160</v>
      </c>
      <c r="O13" s="89">
        <v>6.2</v>
      </c>
      <c r="P13" s="19">
        <v>3</v>
      </c>
      <c r="Q13" s="80"/>
      <c r="R13" s="82" t="s">
        <v>46</v>
      </c>
      <c r="S13" s="20" t="str">
        <f>IF(P10=1,N10,(IF(P11=1,N11,(IF(P12=1,N12,(IF(P13=1,N13,1.7)))))))</f>
        <v>Glenn Sharrock</v>
      </c>
      <c r="T13" s="74">
        <v>9.17</v>
      </c>
      <c r="U13" s="73">
        <v>2</v>
      </c>
    </row>
    <row r="14" spans="1:21" ht="18.75" x14ac:dyDescent="0.3">
      <c r="A14" s="85" t="s">
        <v>47</v>
      </c>
      <c r="B14" s="35">
        <v>9</v>
      </c>
      <c r="C14" s="83" t="s">
        <v>161</v>
      </c>
      <c r="D14" s="72">
        <v>5.7</v>
      </c>
      <c r="E14" s="35">
        <v>3</v>
      </c>
      <c r="F14" s="91"/>
      <c r="G14" s="54"/>
      <c r="H14" s="174" t="s">
        <v>36</v>
      </c>
      <c r="I14" s="44" t="s">
        <v>161</v>
      </c>
      <c r="J14" s="20">
        <v>3.03</v>
      </c>
      <c r="K14" s="83">
        <v>3</v>
      </c>
      <c r="L14" s="80"/>
      <c r="M14" s="91"/>
      <c r="N14" s="48"/>
      <c r="O14" s="48"/>
      <c r="P14" s="91"/>
      <c r="Q14" s="80"/>
      <c r="R14" s="84" t="s">
        <v>36</v>
      </c>
      <c r="S14" s="20" t="str">
        <f>IF(P10=2,N10,(IF(P11=2,N11,(IF(P12=2,N12,(IF(P13=2,N13,2.7)))))))</f>
        <v>Bruce Flint</v>
      </c>
      <c r="T14" s="20">
        <v>2.84</v>
      </c>
      <c r="U14" s="83">
        <v>4</v>
      </c>
    </row>
    <row r="15" spans="1:21" ht="18.75" x14ac:dyDescent="0.3">
      <c r="A15" s="86" t="s">
        <v>48</v>
      </c>
      <c r="B15" s="36">
        <v>10</v>
      </c>
      <c r="C15" s="83" t="s">
        <v>162</v>
      </c>
      <c r="D15" s="75">
        <v>4.9400000000000004</v>
      </c>
      <c r="E15" s="36">
        <v>4</v>
      </c>
      <c r="F15" s="91"/>
      <c r="G15" s="54"/>
      <c r="H15" s="175" t="s">
        <v>47</v>
      </c>
      <c r="I15" s="44" t="s">
        <v>162</v>
      </c>
      <c r="J15" s="20">
        <v>7.34</v>
      </c>
      <c r="K15" s="76">
        <v>2</v>
      </c>
      <c r="L15" s="80"/>
      <c r="M15" s="79" t="s">
        <v>74</v>
      </c>
      <c r="N15" s="96"/>
      <c r="O15" s="96"/>
      <c r="P15" s="79">
        <v>8</v>
      </c>
      <c r="Q15" s="80"/>
      <c r="R15" s="85" t="s">
        <v>47</v>
      </c>
      <c r="S15" s="20" t="str">
        <f>IF(P16=1,N16,(IF(P17=1,N17,(IF(P18=1,N18,(IF(P19=1,N19,1.8)))))))</f>
        <v>Neil Cameron</v>
      </c>
      <c r="T15" s="37">
        <v>15.83</v>
      </c>
      <c r="U15" s="76">
        <v>1</v>
      </c>
    </row>
    <row r="16" spans="1:21" ht="18.75" x14ac:dyDescent="0.3">
      <c r="A16" s="91"/>
      <c r="B16" s="91"/>
      <c r="C16" s="91"/>
      <c r="D16" s="91"/>
      <c r="E16" s="91"/>
      <c r="F16" s="91"/>
      <c r="G16" s="53"/>
      <c r="H16" s="176" t="s">
        <v>48</v>
      </c>
      <c r="I16" s="45">
        <v>3.3</v>
      </c>
      <c r="J16" s="20"/>
      <c r="K16" s="76"/>
      <c r="L16" s="80"/>
      <c r="M16" s="82" t="s">
        <v>46</v>
      </c>
      <c r="N16" s="43" t="str">
        <f>IF(E12=1,C12,(IF(E13=1,C13,(IF(E14=1,C14,(IF(E15=1,C15,1.2)))))))</f>
        <v>Mark Phelan</v>
      </c>
      <c r="O16" s="20">
        <v>10.039999999999999</v>
      </c>
      <c r="P16" s="21">
        <v>3</v>
      </c>
      <c r="Q16" s="80"/>
      <c r="R16" s="86" t="s">
        <v>48</v>
      </c>
      <c r="S16" s="20" t="str">
        <f>IF(P16=2,N16,(IF(P17=2,N17,(IF(P18=2,N18,(IF(P19=2,N19,2.8)))))))</f>
        <v>Brenton Schuetz</v>
      </c>
      <c r="T16" s="37">
        <v>7.4</v>
      </c>
      <c r="U16" s="76">
        <v>3</v>
      </c>
    </row>
    <row r="17" spans="1:21" ht="18.75" x14ac:dyDescent="0.3">
      <c r="A17" s="79" t="s">
        <v>73</v>
      </c>
      <c r="B17" s="79"/>
      <c r="C17" s="79"/>
      <c r="D17" s="79"/>
      <c r="E17" s="79">
        <v>3</v>
      </c>
      <c r="F17" s="80"/>
      <c r="G17" s="53"/>
      <c r="H17" s="80"/>
      <c r="I17" s="80"/>
      <c r="J17" s="80"/>
      <c r="K17" s="80"/>
      <c r="L17" s="80"/>
      <c r="M17" s="84" t="s">
        <v>36</v>
      </c>
      <c r="N17" s="44" t="str">
        <f>IF(E18=1,C18,(IF(E19=1,C19,(IF(E20=1,C20,(IF(E21=1,C21,1.3)))))))</f>
        <v>Wayne Roach</v>
      </c>
      <c r="O17" s="20">
        <v>7.03</v>
      </c>
      <c r="P17" s="35">
        <v>4</v>
      </c>
      <c r="Q17" s="80"/>
      <c r="R17" s="95"/>
      <c r="S17" s="95"/>
      <c r="T17" s="95"/>
      <c r="U17" s="95"/>
    </row>
    <row r="18" spans="1:21" ht="18.75" x14ac:dyDescent="0.3">
      <c r="A18" s="82" t="s">
        <v>46</v>
      </c>
      <c r="B18" s="21">
        <v>2</v>
      </c>
      <c r="C18" s="83" t="s">
        <v>165</v>
      </c>
      <c r="D18" s="71">
        <v>4.5</v>
      </c>
      <c r="E18" s="21">
        <v>2</v>
      </c>
      <c r="F18" s="91"/>
      <c r="G18" s="68"/>
      <c r="H18" s="80"/>
      <c r="I18" s="80"/>
      <c r="J18" s="80"/>
      <c r="K18" s="80"/>
      <c r="L18" s="80"/>
      <c r="M18" s="85" t="s">
        <v>47</v>
      </c>
      <c r="N18" s="44" t="str">
        <f>IF(E18=2,C18,(IF(E19=2,C19,(IF(E20=2,C20,(IF(E21=2,C21,2.3)))))))</f>
        <v>Neil Cameron</v>
      </c>
      <c r="O18" s="20">
        <v>14.26</v>
      </c>
      <c r="P18" s="35">
        <v>1</v>
      </c>
      <c r="Q18" s="80"/>
      <c r="R18" s="80"/>
      <c r="S18" s="80"/>
      <c r="T18" s="80"/>
      <c r="U18" s="80"/>
    </row>
    <row r="19" spans="1:21" ht="18.75" x14ac:dyDescent="0.3">
      <c r="A19" s="84" t="s">
        <v>36</v>
      </c>
      <c r="B19" s="35">
        <v>5</v>
      </c>
      <c r="C19" s="138" t="s">
        <v>182</v>
      </c>
      <c r="D19" s="172" t="s">
        <v>194</v>
      </c>
      <c r="E19" s="63" t="s">
        <v>194</v>
      </c>
      <c r="F19" s="91"/>
      <c r="G19" s="68"/>
      <c r="H19" s="80"/>
      <c r="I19" s="80"/>
      <c r="J19" s="80"/>
      <c r="K19" s="80"/>
      <c r="L19" s="80"/>
      <c r="M19" s="86" t="s">
        <v>48</v>
      </c>
      <c r="N19" s="45" t="s">
        <v>162</v>
      </c>
      <c r="O19" s="20">
        <v>10.74</v>
      </c>
      <c r="P19" s="36">
        <v>2</v>
      </c>
      <c r="Q19" s="80"/>
      <c r="R19" s="80"/>
      <c r="S19" s="80"/>
      <c r="T19" s="80"/>
      <c r="U19" s="80"/>
    </row>
    <row r="20" spans="1:21" ht="18.75" x14ac:dyDescent="0.3">
      <c r="A20" s="85" t="s">
        <v>47</v>
      </c>
      <c r="B20" s="35">
        <v>8</v>
      </c>
      <c r="C20" s="83" t="s">
        <v>183</v>
      </c>
      <c r="D20" s="72">
        <v>8.17</v>
      </c>
      <c r="E20" s="35">
        <v>1</v>
      </c>
      <c r="F20" s="9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 ht="18.75" x14ac:dyDescent="0.3">
      <c r="A21" s="93" t="s">
        <v>48</v>
      </c>
      <c r="B21" s="35">
        <v>11</v>
      </c>
      <c r="C21" s="20">
        <v>11</v>
      </c>
      <c r="D21" s="72"/>
      <c r="E21" s="35"/>
      <c r="F21" s="91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7" spans="1:21" ht="18.7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8.7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8.75" x14ac:dyDescent="0.3">
      <c r="A29" s="28"/>
      <c r="B29" s="28"/>
      <c r="C29" s="28"/>
      <c r="D29" s="28"/>
      <c r="E29" s="28"/>
      <c r="F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Day 1 &amp; 2 </vt:lpstr>
      <vt:lpstr>Day 3 &amp; 4</vt:lpstr>
      <vt:lpstr>35 MEN</vt:lpstr>
      <vt:lpstr>35 WOMEN</vt:lpstr>
      <vt:lpstr>40 MEN</vt:lpstr>
      <vt:lpstr>45 MEN</vt:lpstr>
      <vt:lpstr>50 MEN</vt:lpstr>
      <vt:lpstr>55 MEN</vt:lpstr>
      <vt:lpstr>60 MEN</vt:lpstr>
      <vt:lpstr>SINGLE FIN</vt:lpstr>
      <vt:lpstr>RESULTS</vt:lpstr>
    </vt:vector>
  </TitlesOfParts>
  <Company>Surfing NSW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Wallace</dc:creator>
  <cp:lastModifiedBy>Microsoft Office User</cp:lastModifiedBy>
  <cp:lastPrinted>2018-06-17T01:36:15Z</cp:lastPrinted>
  <dcterms:created xsi:type="dcterms:W3CDTF">2015-02-11T02:03:03Z</dcterms:created>
  <dcterms:modified xsi:type="dcterms:W3CDTF">2018-06-17T03:18:36Z</dcterms:modified>
</cp:coreProperties>
</file>